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defaultThemeVersion="166925"/>
  <xr:revisionPtr revIDLastSave="8" documentId="8_{1E36BCF1-9CB6-4318-B70A-EF27B4E02D17}" xr6:coauthVersionLast="47" xr6:coauthVersionMax="47" xr10:uidLastSave="{243CFC7B-69A2-4552-92AA-D027C9D9E41D}"/>
  <bookViews>
    <workbookView minimized="1" xWindow="-1440" yWindow="3420" windowWidth="28800" windowHeight="14625" tabRatio="792" activeTab="2" xr2:uid="{00000000-000D-0000-FFFF-FFFF00000000}"/>
  </bookViews>
  <sheets>
    <sheet name="Notices" sheetId="95" r:id="rId1"/>
    <sheet name="All Practices" sheetId="100" r:id="rId2"/>
    <sheet name="Practices Per Level &amp; 20 ID'd" sheetId="98" r:id="rId3"/>
    <sheet name="Objective Evidence" sheetId="99" r:id="rId4"/>
    <sheet name="Process Maturity (ML)" sheetId="97" r:id="rId5"/>
    <sheet name="Access Control (AC)" sheetId="76" r:id="rId6"/>
    <sheet name="Asset Management (AM)" sheetId="77" r:id="rId7"/>
    <sheet name="Audit &amp; Accountability (AU)" sheetId="78" r:id="rId8"/>
    <sheet name="Awareness &amp; Training (AT)" sheetId="79" r:id="rId9"/>
    <sheet name="Configuration Management (CM)" sheetId="80" r:id="rId10"/>
    <sheet name="ID &amp; Authentication (IA) " sheetId="82" r:id="rId11"/>
    <sheet name="Incident Response (IR)" sheetId="85" r:id="rId12"/>
    <sheet name="Maintenance (MA)" sheetId="72" r:id="rId13"/>
    <sheet name="Media Protection (MP)" sheetId="86" r:id="rId14"/>
    <sheet name="Personnel Security (PS)" sheetId="83" r:id="rId15"/>
    <sheet name="Physical Protection (PE)" sheetId="87" r:id="rId16"/>
    <sheet name="Recovery (RE)" sheetId="84" r:id="rId17"/>
    <sheet name="Risk Management (RM)" sheetId="88" r:id="rId18"/>
    <sheet name="Security Assessment (CA)" sheetId="89" r:id="rId19"/>
    <sheet name="Situational Awareness (SA)" sheetId="90" r:id="rId20"/>
    <sheet name="System &amp; Comms Protection (SC)" sheetId="91" r:id="rId21"/>
    <sheet name="System &amp; Info. Integrity (SI)" sheetId="92" r:id="rId22"/>
  </sheets>
  <definedNames>
    <definedName name="_xlnm._FilterDatabase" localSheetId="1" hidden="1">'All Practices'!$A$1:$C$172</definedName>
    <definedName name="_xlnm.Print_Area" localSheetId="5">'Access Control (AC)'!$A$1:$F$14</definedName>
    <definedName name="_xlnm.Print_Area" localSheetId="6">'Asset Management (AM)'!$A$1:$F$5</definedName>
    <definedName name="_xlnm.Print_Area" localSheetId="7">'Audit &amp; Accountability (AU)'!$A$1:$F$11</definedName>
    <definedName name="_xlnm.Print_Area" localSheetId="8">'Awareness &amp; Training (AT)'!$A$1:$F$6</definedName>
    <definedName name="_xlnm.Print_Area" localSheetId="9">'Configuration Management (CM)'!$A$1:$F$9</definedName>
    <definedName name="_xlnm.Print_Area" localSheetId="10">'ID &amp; Authentication (IA) '!$A$1:$F$8</definedName>
    <definedName name="_xlnm.Print_Area" localSheetId="11">'Incident Response (IR)'!$A$1:$F$10</definedName>
    <definedName name="_xlnm.Print_Area" localSheetId="12">'Maintenance (MA)'!$A$1:$F$7</definedName>
    <definedName name="_xlnm.Print_Area" localSheetId="13">'Media Protection (MP)'!$A$1:$F$10</definedName>
    <definedName name="_xlnm.Print_Area" localSheetId="0">Notices!$A$1:$A$7</definedName>
    <definedName name="_xlnm.Print_Area" localSheetId="14">'Personnel Security (PS)'!$A$1:$F$5</definedName>
    <definedName name="_xlnm.Print_Area" localSheetId="15">'Physical Protection (PE)'!$A$1:$F$7</definedName>
    <definedName name="_xlnm.Print_Area" localSheetId="2">'Practices Per Level &amp; 20 ID''d'!$A$1:$T$26</definedName>
    <definedName name="_xlnm.Print_Area" localSheetId="4">'Process Maturity (ML)'!$A$1:$F$7</definedName>
    <definedName name="_xlnm.Print_Area" localSheetId="16">'Recovery (RE)'!$A$1:$F$6</definedName>
    <definedName name="_xlnm.Print_Area" localSheetId="17">'Risk Management (RM)'!$A$1:$F$9</definedName>
    <definedName name="_xlnm.Print_Area" localSheetId="18">'Security Assessment (CA)'!$A$1:$F$7</definedName>
    <definedName name="_xlnm.Print_Area" localSheetId="19">'Situational Awareness (SA)'!$A$1:$F$5</definedName>
    <definedName name="_xlnm.Print_Area" localSheetId="20">'System &amp; Comms Protection (SC)'!$A$1:$F$19</definedName>
    <definedName name="_xlnm.Print_Area" localSheetId="21">'System &amp; Info. Integrity (SI)'!$A$1:$F$11</definedName>
    <definedName name="_xlnm.Print_Titles" localSheetId="5">'Access Control (AC)'!$1:$3</definedName>
    <definedName name="_xlnm.Print_Titles" localSheetId="6">'Asset Management (AM)'!$1:$3</definedName>
    <definedName name="_xlnm.Print_Titles" localSheetId="7">'Audit &amp; Accountability (AU)'!$1:$3</definedName>
    <definedName name="_xlnm.Print_Titles" localSheetId="8">'Awareness &amp; Training (AT)'!$1:$3</definedName>
    <definedName name="_xlnm.Print_Titles" localSheetId="9">'Configuration Management (CM)'!$1:$3</definedName>
    <definedName name="_xlnm.Print_Titles" localSheetId="10">'ID &amp; Authentication (IA) '!$1:$3</definedName>
    <definedName name="_xlnm.Print_Titles" localSheetId="11">'Incident Response (IR)'!$1:$3</definedName>
    <definedName name="_xlnm.Print_Titles" localSheetId="12">'Maintenance (MA)'!$1:$3</definedName>
    <definedName name="_xlnm.Print_Titles" localSheetId="13">'Media Protection (MP)'!$1:$3</definedName>
    <definedName name="_xlnm.Print_Titles" localSheetId="0">Notices!$4:$4</definedName>
    <definedName name="_xlnm.Print_Titles" localSheetId="14">'Personnel Security (PS)'!$1:$3</definedName>
    <definedName name="_xlnm.Print_Titles" localSheetId="15">'Physical Protection (PE)'!$1:$3</definedName>
    <definedName name="_xlnm.Print_Titles" localSheetId="4">'Process Maturity (ML)'!$1:$3</definedName>
    <definedName name="_xlnm.Print_Titles" localSheetId="16">'Recovery (RE)'!$1:$3</definedName>
    <definedName name="_xlnm.Print_Titles" localSheetId="17">'Risk Management (RM)'!$1:$3</definedName>
    <definedName name="_xlnm.Print_Titles" localSheetId="18">'Security Assessment (CA)'!$1:$3</definedName>
    <definedName name="_xlnm.Print_Titles" localSheetId="19">'Situational Awareness (SA)'!$1:$3</definedName>
    <definedName name="_xlnm.Print_Titles" localSheetId="20">'System &amp; Comms Protection (SC)'!$1:$3</definedName>
    <definedName name="_xlnm.Print_Titles" localSheetId="21">'System &amp; Info. Integrity (SI)'!$1:$3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5" i="100" l="1"/>
  <c r="A92" i="100"/>
  <c r="J14" i="98" l="1"/>
  <c r="J9" i="98" s="1"/>
  <c r="J4" i="98" s="1"/>
  <c r="L14" i="98"/>
  <c r="L9" i="98" s="1"/>
  <c r="L4" i="98" s="1"/>
  <c r="O14" i="98"/>
  <c r="O9" i="98" s="1"/>
  <c r="O4" i="98" s="1"/>
  <c r="Q14" i="98"/>
  <c r="Q9" i="98" s="1"/>
  <c r="Q4" i="98" s="1"/>
  <c r="R19" i="98"/>
  <c r="R14" i="98" s="1"/>
  <c r="R9" i="98" s="1"/>
  <c r="R4" i="98" s="1"/>
  <c r="D19" i="98"/>
  <c r="D14" i="98" s="1"/>
  <c r="D9" i="98" s="1"/>
  <c r="D4" i="98" s="1"/>
  <c r="E19" i="98"/>
  <c r="E14" i="98" s="1"/>
  <c r="E9" i="98" s="1"/>
  <c r="E4" i="98" s="1"/>
  <c r="F19" i="98"/>
  <c r="F14" i="98" s="1"/>
  <c r="F9" i="98" s="1"/>
  <c r="F4" i="98" s="1"/>
  <c r="G19" i="98"/>
  <c r="G14" i="98" s="1"/>
  <c r="G9" i="98" s="1"/>
  <c r="G4" i="98" s="1"/>
  <c r="H19" i="98"/>
  <c r="H14" i="98" s="1"/>
  <c r="H9" i="98" s="1"/>
  <c r="H4" i="98" s="1"/>
  <c r="I19" i="98"/>
  <c r="I14" i="98" s="1"/>
  <c r="I9" i="98" s="1"/>
  <c r="I4" i="98" s="1"/>
  <c r="J19" i="98"/>
  <c r="K19" i="98"/>
  <c r="K14" i="98" s="1"/>
  <c r="K9" i="98" s="1"/>
  <c r="K4" i="98" s="1"/>
  <c r="L19" i="98"/>
  <c r="M19" i="98"/>
  <c r="M14" i="98" s="1"/>
  <c r="M9" i="98" s="1"/>
  <c r="M4" i="98" s="1"/>
  <c r="N19" i="98"/>
  <c r="N14" i="98" s="1"/>
  <c r="N9" i="98" s="1"/>
  <c r="N4" i="98" s="1"/>
  <c r="O19" i="98"/>
  <c r="P19" i="98"/>
  <c r="P14" i="98" s="1"/>
  <c r="P9" i="98" s="1"/>
  <c r="P4" i="98" s="1"/>
  <c r="Q19" i="98"/>
  <c r="C19" i="98"/>
  <c r="C14" i="98" s="1"/>
  <c r="C9" i="98" s="1"/>
  <c r="C4" i="98" s="1"/>
  <c r="B19" i="98"/>
  <c r="S19" i="98" s="1"/>
  <c r="C25" i="98"/>
  <c r="D25" i="98"/>
  <c r="E25" i="98"/>
  <c r="F25" i="98"/>
  <c r="G25" i="98"/>
  <c r="H25" i="98"/>
  <c r="I25" i="98"/>
  <c r="J25" i="98"/>
  <c r="K25" i="98"/>
  <c r="L25" i="98"/>
  <c r="M25" i="98"/>
  <c r="N25" i="98"/>
  <c r="O25" i="98"/>
  <c r="P25" i="98"/>
  <c r="Q25" i="98"/>
  <c r="R25" i="98"/>
  <c r="B25" i="98"/>
  <c r="S3" i="98"/>
  <c r="S8" i="98"/>
  <c r="C172" i="100"/>
  <c r="B172" i="100"/>
  <c r="A172" i="100"/>
  <c r="C171" i="100"/>
  <c r="B171" i="100"/>
  <c r="A171" i="100"/>
  <c r="C170" i="100"/>
  <c r="B170" i="100"/>
  <c r="A170" i="100"/>
  <c r="C169" i="100"/>
  <c r="B169" i="100"/>
  <c r="A169" i="100"/>
  <c r="C168" i="100"/>
  <c r="B168" i="100"/>
  <c r="A168" i="100"/>
  <c r="C167" i="100"/>
  <c r="B167" i="100"/>
  <c r="A167" i="100"/>
  <c r="C166" i="100"/>
  <c r="B166" i="100"/>
  <c r="A166" i="100"/>
  <c r="C165" i="100"/>
  <c r="B165" i="100"/>
  <c r="A165" i="100"/>
  <c r="C164" i="100"/>
  <c r="B164" i="100"/>
  <c r="A164" i="100"/>
  <c r="C163" i="100"/>
  <c r="B163" i="100"/>
  <c r="A163" i="100"/>
  <c r="C162" i="100"/>
  <c r="B162" i="100"/>
  <c r="A162" i="100"/>
  <c r="C161" i="100"/>
  <c r="B161" i="100"/>
  <c r="A161" i="100"/>
  <c r="C160" i="100"/>
  <c r="B160" i="100"/>
  <c r="A160" i="100"/>
  <c r="C159" i="100"/>
  <c r="B159" i="100"/>
  <c r="A159" i="100"/>
  <c r="C158" i="100"/>
  <c r="B158" i="100"/>
  <c r="A158" i="100"/>
  <c r="C157" i="100"/>
  <c r="B157" i="100"/>
  <c r="A157" i="100"/>
  <c r="C156" i="100"/>
  <c r="B156" i="100"/>
  <c r="A156" i="100"/>
  <c r="C155" i="100"/>
  <c r="B155" i="100"/>
  <c r="A155" i="100"/>
  <c r="C154" i="100"/>
  <c r="B154" i="100"/>
  <c r="A154" i="100"/>
  <c r="C153" i="100"/>
  <c r="B153" i="100"/>
  <c r="A153" i="100"/>
  <c r="C152" i="100"/>
  <c r="B152" i="100"/>
  <c r="A152" i="100"/>
  <c r="C151" i="100"/>
  <c r="B151" i="100"/>
  <c r="A151" i="100"/>
  <c r="C150" i="100"/>
  <c r="B150" i="100"/>
  <c r="A150" i="100"/>
  <c r="C149" i="100"/>
  <c r="B149" i="100"/>
  <c r="A149" i="100"/>
  <c r="C148" i="100"/>
  <c r="B148" i="100"/>
  <c r="A148" i="100"/>
  <c r="C147" i="100"/>
  <c r="B147" i="100"/>
  <c r="A147" i="100"/>
  <c r="C146" i="100"/>
  <c r="B146" i="100"/>
  <c r="A146" i="100"/>
  <c r="C145" i="100"/>
  <c r="B145" i="100"/>
  <c r="A145" i="100"/>
  <c r="C144" i="100"/>
  <c r="B144" i="100"/>
  <c r="A144" i="100"/>
  <c r="C143" i="100"/>
  <c r="B143" i="100"/>
  <c r="A143" i="100"/>
  <c r="C142" i="100"/>
  <c r="B142" i="100"/>
  <c r="A142" i="100"/>
  <c r="C141" i="100"/>
  <c r="B141" i="100"/>
  <c r="A141" i="100"/>
  <c r="C140" i="100"/>
  <c r="B140" i="100"/>
  <c r="A140" i="100"/>
  <c r="C139" i="100"/>
  <c r="B139" i="100"/>
  <c r="A139" i="100"/>
  <c r="C138" i="100"/>
  <c r="B138" i="100"/>
  <c r="A138" i="100"/>
  <c r="C137" i="100"/>
  <c r="B137" i="100"/>
  <c r="A137" i="100"/>
  <c r="C136" i="100"/>
  <c r="B136" i="100"/>
  <c r="A136" i="100"/>
  <c r="C135" i="100"/>
  <c r="B135" i="100"/>
  <c r="A135" i="100"/>
  <c r="C134" i="100"/>
  <c r="B134" i="100"/>
  <c r="A134" i="100"/>
  <c r="C133" i="100"/>
  <c r="B133" i="100"/>
  <c r="A133" i="100"/>
  <c r="C132" i="100"/>
  <c r="B132" i="100"/>
  <c r="A132" i="100"/>
  <c r="C131" i="100"/>
  <c r="B131" i="100"/>
  <c r="A131" i="100"/>
  <c r="C130" i="100"/>
  <c r="B130" i="100"/>
  <c r="A130" i="100"/>
  <c r="C56" i="100"/>
  <c r="B56" i="100"/>
  <c r="A56" i="100"/>
  <c r="C55" i="100"/>
  <c r="B55" i="100"/>
  <c r="A55" i="100"/>
  <c r="C54" i="100"/>
  <c r="B54" i="100"/>
  <c r="A54" i="100"/>
  <c r="C53" i="100"/>
  <c r="B53" i="100"/>
  <c r="A53" i="100"/>
  <c r="C52" i="100"/>
  <c r="B52" i="100"/>
  <c r="A52" i="100"/>
  <c r="C51" i="100"/>
  <c r="B51" i="100"/>
  <c r="A51" i="100"/>
  <c r="C50" i="100"/>
  <c r="B50" i="100"/>
  <c r="A50" i="100"/>
  <c r="C49" i="100"/>
  <c r="B49" i="100"/>
  <c r="A49" i="100"/>
  <c r="C129" i="100"/>
  <c r="B129" i="100"/>
  <c r="A129" i="100"/>
  <c r="C128" i="100"/>
  <c r="B128" i="100"/>
  <c r="A128" i="100"/>
  <c r="C127" i="100"/>
  <c r="B127" i="100"/>
  <c r="A127" i="100"/>
  <c r="C126" i="100"/>
  <c r="B126" i="100"/>
  <c r="A126" i="100"/>
  <c r="C125" i="100"/>
  <c r="B125" i="100"/>
  <c r="A125" i="100"/>
  <c r="C124" i="100"/>
  <c r="B124" i="100"/>
  <c r="A124" i="100"/>
  <c r="C123" i="100"/>
  <c r="B123" i="100"/>
  <c r="A123" i="100"/>
  <c r="C122" i="100"/>
  <c r="B122" i="100"/>
  <c r="A122" i="100"/>
  <c r="C121" i="100"/>
  <c r="B121" i="100"/>
  <c r="A121" i="100"/>
  <c r="C120" i="100"/>
  <c r="B120" i="100"/>
  <c r="A120" i="100"/>
  <c r="C119" i="100"/>
  <c r="B119" i="100"/>
  <c r="A119" i="100"/>
  <c r="C118" i="100"/>
  <c r="B118" i="100"/>
  <c r="A118" i="100"/>
  <c r="C117" i="100"/>
  <c r="B117" i="100"/>
  <c r="A117" i="100"/>
  <c r="C116" i="100"/>
  <c r="B116" i="100"/>
  <c r="A116" i="100"/>
  <c r="C115" i="100"/>
  <c r="B115" i="100"/>
  <c r="A115" i="100"/>
  <c r="C114" i="100"/>
  <c r="B114" i="100"/>
  <c r="A114" i="100"/>
  <c r="C111" i="100"/>
  <c r="B111" i="100"/>
  <c r="A111" i="100"/>
  <c r="C110" i="100"/>
  <c r="B110" i="100"/>
  <c r="A110" i="100"/>
  <c r="C109" i="100"/>
  <c r="B109" i="100"/>
  <c r="A109" i="100"/>
  <c r="C108" i="100"/>
  <c r="B108" i="100"/>
  <c r="A108" i="100"/>
  <c r="C107" i="100"/>
  <c r="B107" i="100"/>
  <c r="A107" i="100"/>
  <c r="C106" i="100"/>
  <c r="B106" i="100"/>
  <c r="A106" i="100"/>
  <c r="C113" i="100"/>
  <c r="B113" i="100"/>
  <c r="A113" i="100"/>
  <c r="C112" i="100"/>
  <c r="B112" i="100"/>
  <c r="A112" i="100"/>
  <c r="B105" i="100"/>
  <c r="A105" i="100"/>
  <c r="C104" i="100"/>
  <c r="B104" i="100"/>
  <c r="A104" i="100"/>
  <c r="C103" i="100"/>
  <c r="B103" i="100"/>
  <c r="A103" i="100"/>
  <c r="C102" i="100"/>
  <c r="B102" i="100"/>
  <c r="A102" i="100"/>
  <c r="C101" i="100"/>
  <c r="B101" i="100"/>
  <c r="A101" i="100"/>
  <c r="C100" i="100"/>
  <c r="B100" i="100"/>
  <c r="A100" i="100"/>
  <c r="C99" i="100"/>
  <c r="B99" i="100"/>
  <c r="A99" i="100"/>
  <c r="C98" i="100"/>
  <c r="B98" i="100"/>
  <c r="A98" i="100"/>
  <c r="C97" i="100"/>
  <c r="B97" i="100"/>
  <c r="A97" i="100"/>
  <c r="C96" i="100"/>
  <c r="B96" i="100"/>
  <c r="A96" i="100"/>
  <c r="C95" i="100"/>
  <c r="B95" i="100"/>
  <c r="A95" i="100"/>
  <c r="C94" i="100"/>
  <c r="B94" i="100"/>
  <c r="A94" i="100"/>
  <c r="C93" i="100"/>
  <c r="B93" i="100"/>
  <c r="A93" i="100"/>
  <c r="C92" i="100"/>
  <c r="B92" i="100"/>
  <c r="C91" i="100"/>
  <c r="B91" i="100"/>
  <c r="A91" i="100"/>
  <c r="C90" i="100"/>
  <c r="B90" i="100"/>
  <c r="A90" i="100"/>
  <c r="C89" i="100"/>
  <c r="B89" i="100"/>
  <c r="A89" i="100"/>
  <c r="C88" i="100"/>
  <c r="B88" i="100"/>
  <c r="A88" i="100"/>
  <c r="C87" i="100"/>
  <c r="B87" i="100"/>
  <c r="A87" i="100"/>
  <c r="C86" i="100"/>
  <c r="B86" i="100"/>
  <c r="A86" i="100"/>
  <c r="C85" i="100"/>
  <c r="B85" i="100"/>
  <c r="A85" i="100"/>
  <c r="C84" i="100"/>
  <c r="B84" i="100"/>
  <c r="A84" i="100"/>
  <c r="C83" i="100"/>
  <c r="B83" i="100"/>
  <c r="A83" i="100"/>
  <c r="C82" i="100"/>
  <c r="B82" i="100"/>
  <c r="A82" i="100"/>
  <c r="C81" i="100"/>
  <c r="B81" i="100"/>
  <c r="A81" i="100"/>
  <c r="C80" i="100"/>
  <c r="B80" i="100"/>
  <c r="A80" i="100"/>
  <c r="C79" i="100"/>
  <c r="B79" i="100"/>
  <c r="A79" i="100"/>
  <c r="C78" i="100"/>
  <c r="B78" i="100"/>
  <c r="A78" i="100"/>
  <c r="C77" i="100"/>
  <c r="B77" i="100"/>
  <c r="A77" i="100"/>
  <c r="C76" i="100"/>
  <c r="B76" i="100"/>
  <c r="A76" i="100"/>
  <c r="C75" i="100"/>
  <c r="B75" i="100"/>
  <c r="A75" i="100"/>
  <c r="C74" i="100"/>
  <c r="B74" i="100"/>
  <c r="A74" i="100"/>
  <c r="C73" i="100"/>
  <c r="B73" i="100"/>
  <c r="A73" i="100"/>
  <c r="C72" i="100"/>
  <c r="B72" i="100"/>
  <c r="A72" i="100"/>
  <c r="C71" i="100"/>
  <c r="B71" i="100"/>
  <c r="A71" i="100"/>
  <c r="C70" i="100"/>
  <c r="B70" i="100"/>
  <c r="A70" i="100"/>
  <c r="C69" i="100"/>
  <c r="B69" i="100"/>
  <c r="A69" i="100"/>
  <c r="C68" i="100"/>
  <c r="B68" i="100"/>
  <c r="A68" i="100"/>
  <c r="C67" i="100"/>
  <c r="B67" i="100"/>
  <c r="A67" i="100"/>
  <c r="C66" i="100"/>
  <c r="B66" i="100"/>
  <c r="A66" i="100"/>
  <c r="C65" i="100"/>
  <c r="B65" i="100"/>
  <c r="A65" i="100"/>
  <c r="C64" i="100"/>
  <c r="B64" i="100"/>
  <c r="A64" i="100"/>
  <c r="C63" i="100"/>
  <c r="B63" i="100"/>
  <c r="A63" i="100"/>
  <c r="C62" i="100"/>
  <c r="B62" i="100"/>
  <c r="A62" i="100"/>
  <c r="C61" i="100"/>
  <c r="B61" i="100"/>
  <c r="A61" i="100"/>
  <c r="C60" i="100"/>
  <c r="B60" i="100"/>
  <c r="A60" i="100"/>
  <c r="C59" i="100"/>
  <c r="B59" i="100"/>
  <c r="A59" i="100"/>
  <c r="C58" i="100"/>
  <c r="B58" i="100"/>
  <c r="A58" i="100"/>
  <c r="C57" i="100"/>
  <c r="B57" i="100"/>
  <c r="A57" i="100"/>
  <c r="C34" i="100"/>
  <c r="B34" i="100"/>
  <c r="A34" i="100"/>
  <c r="C33" i="100"/>
  <c r="B33" i="100"/>
  <c r="A33" i="100"/>
  <c r="C32" i="100"/>
  <c r="B32" i="100"/>
  <c r="A32" i="100"/>
  <c r="C31" i="100"/>
  <c r="B31" i="100"/>
  <c r="A31" i="100"/>
  <c r="C30" i="100"/>
  <c r="B30" i="100"/>
  <c r="A30" i="100"/>
  <c r="C48" i="100"/>
  <c r="B48" i="100"/>
  <c r="A48" i="100"/>
  <c r="C47" i="100"/>
  <c r="B47" i="100"/>
  <c r="A47" i="100"/>
  <c r="C46" i="100"/>
  <c r="B46" i="100"/>
  <c r="A46" i="100"/>
  <c r="C45" i="100"/>
  <c r="B45" i="100"/>
  <c r="A45" i="100"/>
  <c r="C44" i="100"/>
  <c r="B44" i="100"/>
  <c r="A44" i="100"/>
  <c r="C43" i="100"/>
  <c r="B43" i="100"/>
  <c r="A43" i="100"/>
  <c r="C42" i="100"/>
  <c r="B42" i="100"/>
  <c r="A42" i="100"/>
  <c r="C41" i="100"/>
  <c r="B41" i="100"/>
  <c r="A41" i="100"/>
  <c r="C40" i="100"/>
  <c r="B40" i="100"/>
  <c r="A40" i="100"/>
  <c r="C39" i="100"/>
  <c r="B39" i="100"/>
  <c r="A39" i="100"/>
  <c r="C38" i="100"/>
  <c r="B38" i="100"/>
  <c r="A38" i="100"/>
  <c r="C37" i="100"/>
  <c r="B37" i="100"/>
  <c r="A37" i="100"/>
  <c r="C36" i="100"/>
  <c r="B36" i="100"/>
  <c r="A36" i="100"/>
  <c r="C35" i="100"/>
  <c r="B35" i="100"/>
  <c r="A35" i="100"/>
  <c r="C29" i="100"/>
  <c r="B29" i="100"/>
  <c r="A29" i="100"/>
  <c r="C28" i="100"/>
  <c r="B28" i="100"/>
  <c r="A28" i="100"/>
  <c r="C27" i="100"/>
  <c r="B27" i="100"/>
  <c r="A27" i="100"/>
  <c r="C26" i="100"/>
  <c r="B26" i="100"/>
  <c r="A26" i="100"/>
  <c r="C25" i="100"/>
  <c r="B25" i="100"/>
  <c r="A25" i="100"/>
  <c r="C24" i="100"/>
  <c r="B24" i="100"/>
  <c r="A24" i="100"/>
  <c r="C23" i="100"/>
  <c r="B23" i="100"/>
  <c r="A23" i="100"/>
  <c r="C22" i="100"/>
  <c r="B22" i="100"/>
  <c r="A22" i="100"/>
  <c r="C21" i="100"/>
  <c r="B21" i="100"/>
  <c r="A21" i="100"/>
  <c r="C20" i="100"/>
  <c r="B20" i="100"/>
  <c r="A20" i="100"/>
  <c r="C19" i="100"/>
  <c r="B19" i="100"/>
  <c r="A19" i="100"/>
  <c r="C18" i="100"/>
  <c r="B18" i="100"/>
  <c r="A18" i="100"/>
  <c r="C17" i="100"/>
  <c r="B17" i="100"/>
  <c r="A17" i="100"/>
  <c r="C16" i="100"/>
  <c r="B16" i="100"/>
  <c r="A16" i="100"/>
  <c r="C15" i="100"/>
  <c r="B15" i="100"/>
  <c r="A15" i="100"/>
  <c r="C14" i="100"/>
  <c r="B14" i="100"/>
  <c r="A14" i="100"/>
  <c r="C13" i="100"/>
  <c r="B13" i="100"/>
  <c r="A13" i="100"/>
  <c r="C12" i="100"/>
  <c r="B12" i="100"/>
  <c r="A12" i="100"/>
  <c r="C11" i="100"/>
  <c r="B11" i="100"/>
  <c r="A11" i="100"/>
  <c r="C10" i="100"/>
  <c r="B10" i="100"/>
  <c r="A10" i="100"/>
  <c r="C9" i="100"/>
  <c r="B9" i="100"/>
  <c r="A9" i="100"/>
  <c r="C8" i="100"/>
  <c r="B8" i="100"/>
  <c r="A8" i="100"/>
  <c r="C7" i="100"/>
  <c r="B7" i="100"/>
  <c r="A7" i="100"/>
  <c r="C6" i="100"/>
  <c r="B6" i="100"/>
  <c r="A6" i="100"/>
  <c r="C5" i="100"/>
  <c r="B5" i="100"/>
  <c r="A5" i="100"/>
  <c r="C4" i="100"/>
  <c r="B4" i="100"/>
  <c r="A4" i="100"/>
  <c r="C3" i="100"/>
  <c r="B3" i="100"/>
  <c r="A3" i="100"/>
  <c r="C2" i="100"/>
  <c r="B2" i="100"/>
  <c r="A2" i="100"/>
  <c r="S23" i="98"/>
  <c r="S18" i="98"/>
  <c r="S13" i="98"/>
  <c r="B14" i="98" l="1"/>
  <c r="S25" i="98"/>
  <c r="T18" i="98"/>
  <c r="T13" i="98" s="1"/>
  <c r="T8" i="98" s="1"/>
  <c r="T3" i="98" s="1"/>
  <c r="A25" i="98" s="1"/>
  <c r="G2" i="100"/>
  <c r="H2" i="100"/>
  <c r="E2" i="100"/>
  <c r="F2" i="100"/>
  <c r="D2" i="100"/>
  <c r="S14" i="98" l="1"/>
  <c r="B9" i="98"/>
  <c r="E3" i="100"/>
  <c r="F3" i="100" s="1"/>
  <c r="G3" i="100" s="1"/>
  <c r="H3" i="100" s="1"/>
  <c r="I2" i="100"/>
  <c r="S9" i="98" l="1"/>
  <c r="B4" i="98"/>
  <c r="S4" i="98" s="1"/>
</calcChain>
</file>

<file path=xl/sharedStrings.xml><?xml version="1.0" encoding="utf-8"?>
<sst xmlns="http://schemas.openxmlformats.org/spreadsheetml/2006/main" count="1086" uniqueCount="730">
  <si>
    <t>NOTICES</t>
  </si>
  <si>
    <t>DOMAIN: ACCESS CONTROL (AC)</t>
  </si>
  <si>
    <t>CAPABILITY</t>
  </si>
  <si>
    <t>PRACTICES</t>
  </si>
  <si>
    <t>Level 1 (L1)</t>
  </si>
  <si>
    <t>Level 2  (L2)</t>
  </si>
  <si>
    <t>Level 3 (L3)</t>
  </si>
  <si>
    <t>Level 4 (L4)</t>
  </si>
  <si>
    <t>Level 5 (L5)</t>
  </si>
  <si>
    <t>C001
Establish system access requirements</t>
  </si>
  <si>
    <t>C002
Control internal system access</t>
  </si>
  <si>
    <t>AC.4.025
Periodically review and update CUI program access permissions.
• CMMC</t>
  </si>
  <si>
    <t>C003
Control remote system access</t>
  </si>
  <si>
    <t>AC.4.032
Restrict remote network access based on organizationally defined risk factors such as time of day, location of access, physical location, network connection state, and measured properties of the current user and role.
• CMMC</t>
  </si>
  <si>
    <t>C004
Limit data access to authorized users and processes</t>
  </si>
  <si>
    <t>DOMAIN: ASSET MANAGEMENT (AM)</t>
  </si>
  <si>
    <t>C005
Identify and document assets</t>
  </si>
  <si>
    <t>AM.3.036
Define procedures for the handling of CUI data.
• CMMC</t>
  </si>
  <si>
    <t>C006
Manage asset inventory</t>
  </si>
  <si>
    <t>DOMAIN: AUDIT AND ACCOUNTABILITY (AU)</t>
  </si>
  <si>
    <t>C007
Define audit requirements</t>
  </si>
  <si>
    <t>C008
Perform auditing</t>
  </si>
  <si>
    <t>C009
Identify and protect audit information</t>
  </si>
  <si>
    <t>C010
Review and manage audit logs</t>
  </si>
  <si>
    <t>DOMAIN: AWARENESS AND TRAINING (AT)</t>
  </si>
  <si>
    <t>C011
Conduct security awareness activities</t>
  </si>
  <si>
    <t>C012
Conduct training</t>
  </si>
  <si>
    <t>DOMAIN: CONFIGURATION MANAGEMENT (CM)</t>
  </si>
  <si>
    <t>C013
Establish configuration baselines</t>
  </si>
  <si>
    <t>C014
Perform configuration and change management</t>
  </si>
  <si>
    <t>DOMAIN: IDENTIFICATION AND AUTHENTICATION (IA)</t>
  </si>
  <si>
    <t>C015
Grant access to authenticated entities</t>
  </si>
  <si>
    <t>DOMAIN: INCIDENT RESPONSE (IR)</t>
  </si>
  <si>
    <t>C016
Plan incident response</t>
  </si>
  <si>
    <t>IR.4.100
Use knowledge of attacker tactics, techniques, and procedures in incident response planning and execution.
• CMMC</t>
  </si>
  <si>
    <t xml:space="preserve">C017
Detect and report events
</t>
  </si>
  <si>
    <t>C018
Develop and implement a response to a declared incident</t>
  </si>
  <si>
    <t>IR.4.101
Establish and maintain a security operations center capability that facilitates a 24/7 response capability.
• CMMC modification of Draft NIST SP 800-171B 3.6.1e</t>
  </si>
  <si>
    <t>IR.5.108
Establish and maintain a cyber incident response team that can investigate an issue physically or virtually at any location within 24 hours. 
• CMMC modification of Draft NIST SP 800-171B 3.6.2e</t>
  </si>
  <si>
    <t>C019
Perform post incident reviews</t>
  </si>
  <si>
    <t>C020
Test incident response</t>
  </si>
  <si>
    <t>DOMAIN: MAINTENANCE (MA)</t>
  </si>
  <si>
    <t>C021
Manage maintenance</t>
  </si>
  <si>
    <t>DOMAIN: MEDIA PROTECTION (MP)</t>
  </si>
  <si>
    <t>C022
Identify and mark media</t>
  </si>
  <si>
    <t>C023
Protect and control media</t>
  </si>
  <si>
    <t xml:space="preserve">C024
Sanitize media
</t>
  </si>
  <si>
    <t>C025
Protect media during transport</t>
  </si>
  <si>
    <t>DOMAIN: PERSONNEL SECURITY (PS)</t>
  </si>
  <si>
    <t>C026
Screen personnel</t>
  </si>
  <si>
    <t>C027
Protect CUI during personnel actions</t>
  </si>
  <si>
    <t>DOMAIN: PHYSICAL PROTECTION (PE)</t>
  </si>
  <si>
    <t>C028
Limit physical access</t>
  </si>
  <si>
    <t>DOMAIN: RECOVERY (RE)</t>
  </si>
  <si>
    <t>C030
Manage information security continuity</t>
  </si>
  <si>
    <t>DOMAIN: RISK MANAGEMENT (RM)</t>
  </si>
  <si>
    <t xml:space="preserve">C031
Identify and evaluate risk
</t>
  </si>
  <si>
    <t>C032
Manage risk</t>
  </si>
  <si>
    <t>RM.5.152
Utilize an exception process for non-whitelisted software that includes mitigation techniques.  
• CMMC</t>
  </si>
  <si>
    <t>RM.5.155
Analyze the effectiveness of security solutions at least annually to address anticipated risk to the system and the organization based on current and accumulated threat intelligence.
• CMMC modification of Draft NIST SP 800-171B 3.11.5e
• CERT RMM v1.2 RISK:SG6.SP1</t>
  </si>
  <si>
    <t xml:space="preserve">C033
Manage supply chain risk
</t>
  </si>
  <si>
    <t>DOMAIN: SECURITY ASSESSMENT (CA)</t>
  </si>
  <si>
    <t>C034
Develop and manage a system security plan</t>
  </si>
  <si>
    <t>C035
Define and manage controls</t>
  </si>
  <si>
    <t>C036
Perform code reviews</t>
  </si>
  <si>
    <t>DOMAIN: SITUATIONAL AWARENESS (SA)</t>
  </si>
  <si>
    <t>C037
Implement threat monitoring</t>
  </si>
  <si>
    <t>DOMAIN: SYSTEM AND COMMUNICATIONS PROTECTION (SC)</t>
  </si>
  <si>
    <t>SC.4.199
Utilize threat intelligence to proactively block DNS requests from reaching malicious domains. 
• CMMC</t>
  </si>
  <si>
    <t>SC.5.208
Employ organizationally defined and tailored boundary protections in addition to commercially available solutions.
• CMMC</t>
  </si>
  <si>
    <t>SC.3.193
Implement a policy restricting the publication of CUI on externally owned, publicly accessible websites (e.g., forums, LinkedIn, Facebook, Twitter).
• CMMC</t>
  </si>
  <si>
    <t>DOMAIN: SYSTEM AND INFORMATION INTEGRITY (SI)</t>
  </si>
  <si>
    <t>SI.5.222
Analyze system behavior to detect and mitigate execution of normal system commands and scripts that indicate malicious actions.
• CMMC</t>
  </si>
  <si>
    <t>PROCESS MATURITY (ML)</t>
  </si>
  <si>
    <t>MATURITY CAPABILITY</t>
  </si>
  <si>
    <t>PROCESSES</t>
  </si>
  <si>
    <t>Maturity Level 1 (ML1)</t>
  </si>
  <si>
    <t xml:space="preserve"> Maturity Level 2 (ML2)</t>
  </si>
  <si>
    <t xml:space="preserve"> Maturity Level 3 (ML3)</t>
  </si>
  <si>
    <t>Maturity Level 4 (ML4)</t>
  </si>
  <si>
    <t>Maturity Level 5 (ML5)</t>
  </si>
  <si>
    <t>MC01
Improve [DOMAIN NAME] activities</t>
  </si>
  <si>
    <t>ML.2.999
Establish a policy that includes [DOMAIN NAME].
• CERT RMM v1.2 GG2.GP1 subpractice 2</t>
  </si>
  <si>
    <t>ML.4.996
Review and measure [DOMAIN NAME] activities for effectiveness.
• CERT RMM v1.2 GG2.GP8</t>
  </si>
  <si>
    <t>C038
Define security requirements for systems and communications</t>
  </si>
  <si>
    <t>C039
Control communications at system boundaries</t>
  </si>
  <si>
    <t>C040
Identify and manage information system flaws</t>
  </si>
  <si>
    <t xml:space="preserve">C041
Identify malicious content
</t>
  </si>
  <si>
    <t>C042
Perform network and system monitoring</t>
  </si>
  <si>
    <t>C043
Implement advanced email protections</t>
  </si>
  <si>
    <t xml:space="preserve">ML.3.997
Establish, maintain, and resource a plan that includes [DOMAIN NAME].
• CERT RMM v1.2 GG2.GP2
• CERT RMM v1.2 GG2.GP3
</t>
  </si>
  <si>
    <t>ML.5.995
Standardize and optimize a documented approach for [DOMAIN NAME] across all applicable organizational units.
• CERT RMM v1.2 GG3.GP1
• CERT RMM v1.2 GG3.GP2</t>
  </si>
  <si>
    <t>AC.1.004
Control information posted or processed on publicly accessible information systems.
• FAR Clause 52.204-21 b.1.iv
• NIST SP 800-171 Rev 1 3.1.22
• NIST SP 800-53 Rev 4 AC-22</t>
  </si>
  <si>
    <t>AC.2.005
Provide privacy and security notices consistent with applicable CUI rules.
• NIST SP 800-171 Rev 1 3.1.9
• NIST SP 800-53 Rev 4 AC-8</t>
  </si>
  <si>
    <t xml:space="preserve">AC.2.006
Limit use of portable storage devices on external systems.
• NIST SP 800-171 Rev 1 3.1.21
• CIS Controls v7.1 13.7, 13.8, 13.9
• NIST CSF v1.1 ID.AM-4, PR.PT-2
• NIST SP 800-53 Rev 4 AC-20(2)
</t>
  </si>
  <si>
    <t>AC.2.008
Use non-privileged accounts or roles when accessing nonsecurity functions.
• NIST SP 800-171 Rev 1 3.1.6
• CIS Controls v7.1 4.3, 4.6
• NIST CSF v1.1 PR.AC-4
• NIST SP 800-53 Rev 4 AC-6(2)
• UK NCSC Cyber Essentials</t>
  </si>
  <si>
    <t>AC.2.009
Limit unsuccessful logon attempts. 
• NIST SP 800-171 Rev 1 3.1.8 
• NIST CSF v1.1 PR.AC-7
• NIST SP 800-53 Rev 4 AC-7</t>
  </si>
  <si>
    <t>AC.2.010
Use session lock with pattern-hiding displays to prevent access and viewing of data after a period of inactivity. 
• NIST SP 800-171 Rev 1 3.1.10
• CIS Controls v7.1 16.11
• NIST SP 800-53 Rev 4 AC-11, AC-11(1)</t>
  </si>
  <si>
    <t xml:space="preserve">AC.3.017
Separate the duties of individuals to reduce the risk of malevolent activity without collusion.
• NIST SP 800-171 Rev 1 3.1.4
• NIST CSF v1.1 PR.AC-4
• NIST SP 800-53 Rev 4 AC-5
</t>
  </si>
  <si>
    <t>AC.3.019
Terminate (automatically) user sessions after a defined condition.
• NIST SP 800-171 Rev 1 3.1.11
• CIS Controls v7.1 16.7, 16.11
• NIST SP 800-53 Rev 4 AC-12</t>
  </si>
  <si>
    <t>AC.5.024
Identify and mitigate risk associated with unidentified wireless access points connected to the network.
• CMMC
• CIS Controls v7.1 15.3
• NIST CSF v1.1 PR.DS-5, DE.AE-1, DE.CM-7
• NIST SP 800-53 Rev 4 SI-4(14)</t>
  </si>
  <si>
    <t>AU.2.041
Ensure that the actions of individual system users can be uniquely traced to those users so they can be held accountable for their actions.
• NIST SP 800-171 Rev 1 3.3.2
• CIS Controls v7.1 16.8, 16.9
• NIST CSF v1.1 DE.CM-1, DE.CM-3, DE.CM-7
• CERT RMM v1.2 MON:SG1.SP3
• NIST SP 800-53 Rev 4 AU-2, AU-3, AU-3(1), AU-6, AU-11, AU-12</t>
  </si>
  <si>
    <t>AU.2.042
Create and retain system audit logs and records to the extent needed to enable the monitoring, analysis, investigation, and reporting of unlawful or unauthorized system activity. 
• NIST SP 800-171 Rev 1 3.3.1
• CIS Controls v7.1 6.2
• NIST CSF v1.1. DE.CM-1, DE.CM-3, DE.CM-7
• CERT RMM v1.2 MON:SG2.SP3
• NIST SP 800-53 Rev 4 AU-2, AU-3, AU-3(1), AU-6, AU-11, AU-12</t>
  </si>
  <si>
    <t>AU.2.043
Provide a system capability that compares and synchronizes internal system clocks with an authoritative source to generate time stamps for audit records.
• NIST SP 800-171 Rev 1 3.3.7
• CIS Controls v7.1 6.1
• NIST CSF v1.1 PR.PT-1
• NIST SP 800-53 Rev 4 AU-8, AU-8(1)</t>
  </si>
  <si>
    <t>AU.3.046
Alert in the event of an audit logging process failure. 
• NIST SP 800-171 Rev 1 3.3.4
• CIS Controls v7.1 6.7
• NIST SP 800-53 Rev 4 AU-5</t>
  </si>
  <si>
    <t>AU.3.049
Protect audit information and audit logging tools from unauthorized access, modification, and deletion.
• NIST SP 800-171 Rev 1 3.3.8 
• CERT RMM v1.2 MON:SG2.SP3
• NIST SP 800-53 Rev 4 AU-6(7), AU-9</t>
  </si>
  <si>
    <t>AU.3.050
Limit management of audit logging functionality to a subset of privileged users. 
• NIST SP 800-171 Rev 1 3.3.9
• CERT RMM v1.2 MON:SG2.SP2
• NIST SP 800-53 Rev 4 AU-6(7), AU-9(4)</t>
  </si>
  <si>
    <t xml:space="preserve">AU.4.053
Automate analysis of audit logs to identify and act on critical indicators (TTPs) and/or organizationally defined suspicious activity.
• CMMC
• CIS Controls v7.1 6.6
• NIST CSF v1.1 DE.AE-3
• NIST SP 800-53 Rev 4 SI-4(2) </t>
  </si>
  <si>
    <t>AU.4.054
Review audit information for broad activity in addition to per-machine activity.
• CMMC
• NIST CSF v1.1 PR.PT-1
• NIST SP 800-53 Rev 4 RA-5(6), RA-5(8), RA-5(10)</t>
  </si>
  <si>
    <t>AU.5.055
Identify assets not reporting audit logs and assure appropriate organizationally defined systems are logging.
• CMMC
• CIS Controls v7.1 6.2
• NIST SP 800-53 Rev 4 AU-12</t>
  </si>
  <si>
    <t xml:space="preserve">AT.2.056
Ensure that managers, system administrators, and users of organizational systems are made aware of the security risks associated with their activities and of the applicable policies, standards, and procedures related to the security of those systems.
• NIST SP 800-171 Rev 1 3.2.1
• CIS Controls v7.1 17.3
• NIST CSF v1.1 PR.AT-1, PR.AT-2, PR.AT-3, PR.AT-4, PR.AT-5
• CERT RMM v1.2 OTA:SG1.SP1
• NIST SP 800-53 Rev 4 AT-2, AT-3
</t>
  </si>
  <si>
    <t>AT.2.057
Ensure that personnel are trained to carry out their assigned information security-related duties and responsibilities. 
• NIST SP 800-171 Rev 1 3.2.2
• CIS Controls v7.1 17.5, 17.6, 17.7, 17.8, 17.9
• NIST CSF v1.1 PR.AT-1, PR.AT-2, PR.AT-3, PR.AT-4, PR.AT-5
• CERT RMM v1.2 OTA:SG4.SP1
• NIST SP 800-53 Rev 4 AT-2, AT-3</t>
  </si>
  <si>
    <t>CM.2.061
Establish and maintain baseline configurations and inventories of organizational systems (including hardware, software, firmware, and documentation) throughout the respective system development life cycles.
• NIST SP 800-171 Rev 1 3.4.1
• CIS Controls v7.1 1.4, 1.5, 2.1, 2.4, 5.1
• NIST CSF v1.1 ID.AM-1, ID.AM-2, PR.DS-3, PR.DS-7, PR.IP-1, DE.AE-1
• CERT RMM v1.2 KIM:SG5.SP2
• NIST SP 800-53 Rev 4 CM-2, CM-6, CM-8, CM-8(1)
• UK NCSC Cyber Essentials</t>
  </si>
  <si>
    <t>CM.2.065
Track, review, approve, or disapprove, and log changes to organizational systems. 
• NIST SP 800-171 Rev 1 3.4.3
• NIST CSF v1.1 PR.IP-1, PR.IP-3
• CERT RMM v1.2 KIM:SG5.SP2
• NIST SP 800-53 Rev 4 CM-3
• AU ACSC Essential Eight</t>
  </si>
  <si>
    <t>IA.2.078
Enforce a minimum password complexity and change of characters when new passwords are created.
• NIST SP 800-171 Rev 1 3.5.7
• CIS Controls v7.1 4.2, 4.4
• NIST CSF v1.1 PR.AC-1, PR.AC-6, PR.AC-7
• NIST SP 800-53 Rev 4 IA-5(1)
• UK NCSC Cyber Essentials</t>
  </si>
  <si>
    <t>IA.2.079
Prohibit password reuse for a specified number of generations.
• NIST SP 800-171 Rev 1 3.5.8
• CIS Controls v7.1 4.2, 4.4
• NIST CSF v1.1 PR.AC-1, PR.AC-6, PR.AC-7
• NIST SP 800-53 Rev 4 IA-5(1)</t>
  </si>
  <si>
    <t>IA.2.080
Allow temporary password use for system logons with an immediate change to a permanent password. 
• NIST SP 800-171 Rev 1 3.5.9
• NIST CSF v1.1 PR.AC-1, PR.AC-6, PR.AC-7
• NIST SP 800-53 Rev 4 IA-5(1)</t>
  </si>
  <si>
    <t>IA.2.082
Obscure feedback of authentication information. 
• NIST SP 800-171 Rev 1 3.5.11
• NIST CSF v1.1 PR.AC-1
• NIST SP 800-53 Rev 4 IA-6</t>
  </si>
  <si>
    <t>IA.3.084
Employ replay-resistant authentication mechanisms for network access to privileged and non-privileged accounts.
• NIST SP 800-171 Rev 1 3.5.4
• NIST CSF v1.1 PR.AC-1, PR.AC-6, PR.AC-7
• NIST SP 800-53 Rev 4 IA-2(8), IA-2(9)</t>
  </si>
  <si>
    <t>IA.3.085
Prevent the reuse of identifiers for a defined period. 
• NIST SP 800-171 Rev 1 3.5.5
• CIS Controls v7.1 16.7, 16.10, 16.12
• NIST CSF v1.1 PR.AC-1, PR.AC-6, PR.AC-7
• NIST SP 800-53 Rev 4 IA-4</t>
  </si>
  <si>
    <t>IA.3.086
Disable identifiers after a defined period of inactivity. 
• NIST SP 800-171 Rev 1 3.5.6
• CIS Controls v7.1 16.9, 16.10, 16.11
• NIST CSF v1.1 PR.AC-1, PR.AC-6, PR.AC-7
• NIST SP 800-53 Rev 4 IA-4</t>
  </si>
  <si>
    <t>IR.2.093
Detect and report events. 
• CIS Controls v7.1 19.4
• NIST CSF v1.1 DE.CM-1, DE.CM-2, DE.CM-3, RS.CO-2
• CERT RMM v1.2 IMC:SG2.SP1
• NIST SP 800-53 Rev 4 IR-6</t>
  </si>
  <si>
    <t>IR.2.094
Analyze and triage events to support event resolution and incident declaration.
• CERT RMM v1.2 IMC:SG2.SP4
• NIST SP 800-53 Rev 4 IR-4(3)</t>
  </si>
  <si>
    <t>IR.2.096
Develop and implement responses to declared incidents according to pre-defined procedures.
• CIS Controls v7.1 19.1
• NIST CSF v1.1 RS.RP-1
• CERT RMM v1.2 IMC:SG4.SP2
• NIST SP 800-53 Rev 4 IR-4</t>
  </si>
  <si>
    <t>IR.2.097
Perform root cause analysis on incidents to determine underlying causes. 
• NIST CSF v1.1 DE.AE-2
• CERT RMM v1.2 IMC:SG5.SP1
• NIST SP 800-53 Rev 4 AU-2</t>
  </si>
  <si>
    <t>IR.3.099
Test the organizational incident response capability.
• NIST SP 800-171 Rev 1 3.6.3
• CIS Controls v7.1 19.7
• NIST CSF v1.1 DE.DP-3
• NIST SP 800-53 Rev 4 IR-3</t>
  </si>
  <si>
    <t>IR.5.106
In response to cyber incidents, utilize forensic data gathering across impacted systems, ensuring the secure transfer and protection of forensic data.
• CMMC
• NIST CSF v1.1 RS.AM-3
• NIST SP 800-53 Rev 4 AU-12</t>
  </si>
  <si>
    <t>IR.5.102
Use a combination of manual and automated, real-time responses to anomalous activities that match incident patterns.
• CMMC
• NIST SP 800-53 Rev 4 IR-4(1)</t>
  </si>
  <si>
    <t>IR.5.110
Perform unannounced operational exercises to demonstrate technical and procedural responses.
• CMMC
• CIS Controls v7.1 19.7</t>
  </si>
  <si>
    <t>MA.2.111
Perform maintenance on organizational systems.
• NIST SP 800-171 Rev 1 3.7.1
• NIST CSF v1.1 PR.MA-1
• CERT RMM v1.2 TM:SG5.SP2
• NIST SP 800-53 Rev 4 MA-2</t>
  </si>
  <si>
    <t>MA.3.116
Check media containing diagnostic and test programs for malicious code before the media are used in organizational systems. 
• NIST SP 800-171 Rev 1 3.7.4
• NIST SP 800-53 Rev 4 MA-3(2)</t>
  </si>
  <si>
    <t>MP.2.119
Protect (i.e., physically control and securely store) system media containing CUI, both paper and digital. 
• NIST SP 800-171 Rev 1 3.8.1
• NIST CSF v1.1 PR.PT-2
• CERT RMM v1.2 KIM:SG2.SP2
• NIST SP 800-53 Rev 4 MP-4</t>
  </si>
  <si>
    <t>MP.2.120
Limit access to CUI on system media to authorized users.
• NIST SP 800-171 Rev 1 3.8.2
• CIS Controls v7.1 14.6
• NIST CSF v1.1 PR.PT-2
• CERT RMM v1.2 MON:SG2.SP4
• NIST SP 800-53 Rev 4 MP-2</t>
  </si>
  <si>
    <t>MP.2.121
Control the use of removable media on system components.
• NIST SP 800-171 Rev 1 3.8.7
• CIS Controls v7.1 13.7, 13.8
• NIST CSF v1.1 PR.PT-2
• CERT RMM v1.2 MON:SG2.SP4
• NIST SP 800-53 Rev 4 MP-7</t>
  </si>
  <si>
    <t>MP.3.122
Mark media with necessary CUI markings and distribution limitations.
• NIST SP 800-171 Rev 1 3.8.4
• NIST CSF v1.1 PR.PT-2
• CERT RMM v1.2 MON:SG2.SP4
• NIST SP 800-53 Rev 4 MP-3</t>
  </si>
  <si>
    <t>MP.3.123
Prohibit the use of portable storage devices when such devices have no identifiable owner.
• NIST SP 800-171 Rev 1 3.8.8
• NIST CSF v1.1 PR.PT-2
• CERT RMM v1.2 MON:SG2.SP4
• NIST SP 800-53 Rev 4 MP-7(1)</t>
  </si>
  <si>
    <t>PS.2.127
Screen individuals prior to authorizing access to organizational systems containing CUI.
• NIST SP 800-171 Rev 1 3.9.1
• CERT RMM v1.2 HRM:SG2.SP1
• NIST SP 800-53 Rev 4 PS-3</t>
  </si>
  <si>
    <t>PS.2.128
Ensure that organizational systems containing CUI are protected during and after personnel actions such as terminations and transfers.
• NIST SP 800-171 Rev 1 3.9.2
• NIST CSF v1.1 PR.AC-1
• CERT RMM v1.2 HRM:SG4.SP2
• NIST SP 800-53 Rev 4 PS-4, PS-5</t>
  </si>
  <si>
    <t>PE.1.131
Limit physical access to organizational information systems, equipment, and the respective operating environments to authorized individuals. 
• FAR Clause 52.204-21 b.1.viii
• NIST SP 800-171 Rev 1 3.10.1
• NIST CSF v1.1 PR.AC-2
• CERT RMM v1.2 KIM:SG4.SP2
• NIST SP 800-53 Rev 4 PE-2</t>
  </si>
  <si>
    <t>PE.1.133
Maintain audit logs of physical access.
• FAR Clause 52.204-21 Partial b.1.ix 
• NIST SP 800-171 Rev 1 3.10.4
• NIST SP 800-53 Rev 4 PE-3</t>
  </si>
  <si>
    <t>PE.1.134
Control and manage physical access devices.
• FAR Clause 52.204-21 Partial b.1.ix 
• NIST SP 800-171 Rev 1 3.10.5
• CERT RMM v1.2 KIM:SG4.SP2
• NIST SP 800-53 Rev 4 PE-3</t>
  </si>
  <si>
    <t>PE.2.135
Protect and monitor the physical facility and support infrastructure for organizational systems.
• NIST SP 800-171 Rev 1 3.10.2
• NIST CSF v1.1 PR.AC-2
• CERT RMM v1.2 KIM:SG4.SP2
• NIST SP 800-53 Rev 4 PE-6</t>
  </si>
  <si>
    <t>RE.2.138
Protect the confidentiality of backup CUI at storage locations. 
• NIST SP 800-171 Rev 1 3.8.9
• CERT RMM v1.2 MON:SG2.SP4
• NIST 800-53 Rev 4 CP-9</t>
  </si>
  <si>
    <t>RM.2.141
Periodically assess the risk to organizational operations (including mission, functions, image, or reputation), organizational assets, and individuals, resulting from the operation of organizational systems and the associated processing, storage, or transmission of CUI.
• NIST SP 800-171 Rev 1 3.11.1
• NIST CSF v1.1 ID.RA-1, ID.RA-4, DE.AE-4, RS.MI-3
• CERT RMM v1.2 RISK:SG4
• NIST SP 800-53 Rev 4 RA-3</t>
  </si>
  <si>
    <t>RM.2.143
Remediate vulnerabilities in accordance with risk assessments.
• NIST SP 800-171 Rev 1 3.11.3
• CIS Controls v7.1 3.7
• NIST CSF v1.1 RS.MI-3
• CERT RMM v1.2 VAR:SG3.SP1
• NIST SP 800-53 Rev 4 RA-5</t>
  </si>
  <si>
    <t>RM.3.144
Periodically perform risk assessments to identify and prioritize risks according to the defined risk categories, risk sources, and risk measurement criteria.
• NIST CSF v1.1 ID.RA-5
• CERT RMM v1.2 RISK:SG3, RISK:SG4.SP3 
• NIST SP 800-53 Rev 4 RA-3</t>
  </si>
  <si>
    <t>RM.3.146
Develop and implement risk mitigation plans.
• NIST CSF v1.1 ID.RA-6, ID.RM-1
• CERT RMM v1.2 RISK:SG5.SP1
• NIST SP 800-53 Rev 4 PM-9</t>
  </si>
  <si>
    <t>RM.3.147
Manage non-vendor-supported products (e.g., end of life) separately and restrict as necessary to reduce risk.
• CMMC
• CIS Controls v7.1 2.2
• NIST SP 800-53 Rev 4 SA-22(1)</t>
  </si>
  <si>
    <t>RM.4.150
Employ threat intelligence to inform the development of the system and security architectures, selection of security solutions, monitoring, threat hunting, and response and recovery activities.    
• Draft NIST SP 800-171B 3.11.1e
• NIST CSF v1.1 ID.RA-2, ID.RA-3</t>
  </si>
  <si>
    <t>RM.4.151
Perform scans for unauthorized ports available across perimeter network boundaries over the organization's Internet network boundaries and other organizationally defined boundaries.
• CIS Controls v7.1 12.2
• NIST CSF v1.1 DE.CM-7</t>
  </si>
  <si>
    <t>RM.4.148
Develop and update as required, a plan for managing supply chain risks associated with the IT supply chain.
• CMMC modification of Draft NIST SP 800-171B 3.11.7e
• NIST CSF v1.1 ID.SC-1, ID.SC-2
• CERT RMM v1.2 EC:SG3.SP1, EC:SG3.SP2
• NIST SP 800-53 Rev 4 SA-12</t>
  </si>
  <si>
    <t>RM.2.142
Scan for vulnerabilities in organizational systems and applications periodically and when new vulnerabilities affecting those systems and applications are identified. 
• NIST SP 800-171 Rev 1 3.11.2
• CIS Controls v7.1 3.1, 3.2
• NIST CSF v1.1 ID.RA-1
• CERT RMM v1.2 VAR:SG2.SP2
• NIST SP 800-53 Rev 4 RA-5</t>
  </si>
  <si>
    <t>RE.5.140
Ensure information processing facilities meet organizationally defined information security continuity, redundancy, and availability requirements.
• CMMC
• NIST CSF v1.1 PR.IP-9
• CERT RMM v1.2 RRM:SG1.SP2
• NIST 800-53 Rev 4 CP-10</t>
  </si>
  <si>
    <t>PE.1.132
Escort visitors and monitor visitor activity. 
• FAR Clause 52.204-21 Partial b.1.ix 
• NIST SP 800-171 Rev 1 3.10.3
• CERT RMM v1.2 AM:SG1.SP1
• NIST SP 800-53 Rev 4 PE-3</t>
  </si>
  <si>
    <t>PE.3.136
Enforce safeguarding measures for CUI at alternate work sites.
• NIST SP 800-171 Rev 1 3.10.6
• CERT RMM v1.2 EC:SG2.SP1
• NIST SP 800-53 Rev 4 PE-17</t>
  </si>
  <si>
    <t>MP.1.118
Sanitize or destroy information system media containing Federal Contract Information before disposal or release for reuse.
• FAR Clause 52.204-21 b.1.vii
• NIST SP 800-171 Rev 1 3.8.3
• NIST CSF v1.1 PR.DS-3
• CERT RMM v1.2 KIM:SG4.SP3
• NIST SP 800-53 Rev 4 MP-6</t>
  </si>
  <si>
    <t>MP.3.124
Control access to media containing CUI and maintain accountability for media during transport outside of controlled areas. 
• NIST SP 800-171 Rev 1 3.8.5
• NIST CSF v1.1 PR.PT-2
• CERT RMM v1.2 KIM:SG4.SP2
• NIST SP 800-53 Rev 4 MP-5</t>
  </si>
  <si>
    <t>MP.3.125
Implement cryptographic mechanisms to protect the confidentiality of CUI stored on digital media during transport unless otherwise protected by alternative physical safeguards. 
• NIST SP 800-171 Rev 1 3.8.6
• CIS Controls v7.1 13.9
• CERT RMM v1.2 KIM:SG4.SP1
• NIST SP 800-53 Rev 4 MP-5(4)</t>
  </si>
  <si>
    <t>MA.3.115
Ensure equipment removed for off-site maintenance is sanitized of any CUI. 
• NIST SP 800-171 Rev 1 3.7.3
• CERT RMM v1.2 TM:SG5.SP2
• NIST SP 800-53 Rev 4 MA-2</t>
  </si>
  <si>
    <t>MA.2.112
Provide controls on the tools, techniques, mechanisms, and personnel used to conduct system maintenance.
• NIST SP 800-171 Rev 1 3.7.2
• NIST CSF v1.2 PR.MA-1
• CERT RMM v1.2 TM:SG5.SP2
• NIST SP 800-53 Rev 4 MA-3</t>
  </si>
  <si>
    <t>MA.2.113
Require multifactor authentication to establish nonlocal maintenance sessions via external network connections and terminate such connections when nonlocal maintenance is complete.
• NIST SP 800-171 Rev 1 3.7.5
• NIST CSF v1.1 PR.MA-2
• CERT RMM v1.2 TM:SG4.SP1
• NIST SP 800-53 Rev 4 MA-4</t>
  </si>
  <si>
    <t>MA.2.114
Supervise the maintenance activities of personnel without required access authorization. 
• NIST SP 800-171 Rev 1 3.7.6
• CERT RMM v1.2 TM:SG5.SP2
• NIST SP 800-53 Rev 4 MA-5</t>
  </si>
  <si>
    <t>IR.2.092
Establish an operational incident-handling capability for organizational systems that includes preparation, detection, analysis, containment, recovery, and user response activities.
• NIST SP 800-171 Rev 1 3.6.1
• NIST CSF v1.1. RS.RP-1
• CERT RMM v1.2 IMC:SG1.SP1
• NIST SP 800-53 Rev 4 IR-2, IR-4</t>
  </si>
  <si>
    <t>IR.3.098
Track, document, and report incidents to designated officials and/or authorities both internal and external to the organization.
• NIST SP 800-171 Rev 1 3.6.2
• CIS Controls v7.1 19.4
• NIST CSF v1.1 RS.CO-2, RS.CO-3
• CERT RMM v1.2 IMC:SG2.SP2
• NIST SP 800-53 Rev 4 IR-6, IR-7</t>
  </si>
  <si>
    <t>IA.1.076
Identify information system users, processes acting on behalf of users, or devices.
• FAR Clause 52.204-21 b.1.v
• NIST SP 800-171 Rev 1 3.5.1
• CIS Controls v7.1 4.2, 4.3, 16.8, 16.9
• NIST CSF v1.1 PR.AC-1, PR.AC-6, PR.AC-7
• CERT RMM v1.2 ID:SG1.SP1
• NIST SP 800-53 Rev 4 IA-2, IA-3, IA-5</t>
  </si>
  <si>
    <t>IA.1.077
Authenticate (or verify) the identities of those users, processes, or devices, as a prerequisite to allowing access to organizational information systems.
• FAR Clause 52.204-21 b.1.vi
• NIST SP 800-171 Rev 1 3.5.2
• CIS Controls v7.1 4.2, 4.3, 16.8, 16.9
• NIST CSF v1.1 PR.AC-1, PR.AC-6, PR.AC-7
• CERT RMM v1.2 TM:SG4.SP1
• NIST SP 800-53 Rev 4 IA-2, IA-3, IA-5
• UK NCSC Cyber Essentials</t>
  </si>
  <si>
    <t>IA.2.081
Store and transmit only cryptographically-protected passwords. 
• NIST SP 800-171 Rev 1 3.5.10
• CIS Controls v7.1 16.4, 16.5
• NIST CSF v1.1 PR.AC-1, PR.AC-6, PR.AC-7
• CERT RMM v1.2 KIM:SG4.SP1
• NIST SP 800-53 Rev 4 IA-5(1)</t>
  </si>
  <si>
    <t xml:space="preserve">CM.2.062
Employ the principle of least functionality by configuring organizational systems to provide only essential capabilities. 
• NIST SP 800-171 Rev 1 3.4.6
• NIST CSF v1.1 PR.IP-1, PR.PT-3
• CERT RMM v1.2 TM:SG2.SP2
• NIST SP 800-53 Rev 4 CM-7
• UK NCSC Cyber Essentials </t>
  </si>
  <si>
    <t>CM.2.063
Control and monitor user-installed software.
• NIST SP 800-171 Rev 1 3.4.9
• CIS Controls v7.1 2.1, 2.2, 2.6
• NIST CSF v1.1 DE.CM-3
• CERT RMM v1.2 MON:SG2.SP3
• NIST SP 800-53 Rev 4 CM-11</t>
  </si>
  <si>
    <t>CM.2.064
Establish and enforce security configuration settings for information technology products employed in organizational systems.
• NIST SP 800-171 Rev 1 3.4.2
• CIS Controls v7.1 1.4, 1.5, 2.1, 2.4, 5.1
• NIST CSF v1.1 ID.AM-1, ID.AM-2, PR.DS-3, PR.DS-7, PR.IP-1, DE.AE-1
• CERT RMM v1.2 TM:SG2.SP2
• NIST SP 800-53 Rev 4 CM-2, CM-6, CM-8, CM-8(1)
• UK NCSC Cyber Essentials</t>
  </si>
  <si>
    <t>CM.3.067
Define, document, approve, and enforce physical and logical access restrictions associated with changes to organizational systems.
• NIST SP 800-171 Rev 1 3.4.5
• CIS Controls v7.1 2.5, 2.7, 2.8, 2.9, 4.3, 11.1, 11.3, 11.7
• NIST CSF v1.1 PR.IP-1
• CERT RMM v1.2 TM:SG4.SP1
• NIST SP 800-53 Rev 4 CM-5
• UK NCSC Cyber Essentials</t>
  </si>
  <si>
    <t>CM.4.073
Employ application whitelisting and an application vetting process for systems identified by the organization.
• CMMC modification of NIST SP 800-171 3.4.8
• CIS Controls v7.1 2.1, 2.2, 2.6, 2.7, 2.8, 2.9
• NIST CSF v1.1 PR.PT-3
• CERT RMM v1.2 TM:SG2.SP2
• NIST SP 800-53 Rev 4 CM-7(4), CM-7(5)</t>
  </si>
  <si>
    <t>CM.5.074
Verify the integrity and correctness of security critical or essential software as defined by the organization (e.g., roots of trust, formal verification, or cryptographic signatures).
• CMMC modification of Draft NIST SP 800-171B 3.14.1e
• CIS Controls v7.1 2.10
• NIST CSF v1.1 PR.DS-6, PR.DS-8, PR.IP-2
• CERT RMM v1.2 TM:SG2.SP2
• NIST SP 800-53 Rev 4  SI-7(6), SI-7(9), SI-7(10), SA-17</t>
  </si>
  <si>
    <t>CM.3.068
Restrict, disable, or prevent the use of nonessential programs, functions, ports, protocols, and services. 
• NIST SP 800-171 Rev 1 3.4.7
• CIS Controls v7.1 9.2, 9.4, 12.4
• NIST CSF v1.1 PR.IP-1, PR.PT-3
• CERT RMM v1.2 TM:SG2.SP2
• NIST SP 800-53 Rev 4 CM-7(1), CM-7(2)
• UK NCSC Cyber Essentials</t>
  </si>
  <si>
    <t>CM.3.069
Apply deny-by-exception (blacklisting) policy to prevent the use of unauthorized software or deny-all, permit-by-exception (whitelisting) policy to allow the execution of authorized software. 
• NIST SP 800-171 Rev 1 3.4.8
• CIS Controls v7.1 2.1, 2.2, 2.6, 2.7, 2.8, 2.9
• NIST CSF v1.1 PR.PT-3
• CERT RMM v1.2 TM:SG2.SP2
• NIST SP 800-53 Rev 4 CM-7(4), CM-7(5)
• UK NCSC Cyber Essentials</t>
  </si>
  <si>
    <t>AT.3.058
Provide security awareness training on recognizing and reporting potential indicators of insider threat.
• NIST SP 800-171 Rev 1 3.2.3
• NIST CSF v1.1 ID.RA-3
• CERT RMM v1.2 OTA:SG2.SP1
• NIST SP 800-53 Rev 4 AT-2(2)</t>
  </si>
  <si>
    <t>AU.3.045
Review and update logged events.
• NIST SP 800-171 Rev 1 3.3.3
• CIS Controls v7.1 6.7
• CERT RMM v1.2 IMC:SG2.SP2
• NIST SP 800-53 Rev 4 AU-2(3)</t>
  </si>
  <si>
    <t>AU.3.048
Collect audit information (e.g., logs) into one or more central repositories.
• CMMC
• CIS Controls v7.1 6.5
• CERT RMM v1.2 COMP:SG3.SP1
• NIST SP 800-53 Rev 4 AU-6(4)</t>
  </si>
  <si>
    <t>AU.2.044
Review audit logs. 
• CMMC
• CIS Controls v7.1 6.7
• NIST CSF v1.1 PR.PT-1
• CERT RMM v1.2 COMP:SG3.SP1
• NIST SP 800-53 Rev 4 AU-6</t>
  </si>
  <si>
    <t>AU.3.051
Correlate audit record review, analysis, and reporting processes for investigation and response to indications of unlawful, unauthorized, suspicious, or unusual activity.
• NIST SP 800-171 Rev 1 3.3.5
• CIS Controls v7.1 6.6, 6.7
• NIST CSF v1.1 DE.AE-3
• CERT RMM v1.2 COMP: SG3.SP1
• NIST SP 800-53 Rev 4 AU-6(3)</t>
  </si>
  <si>
    <t xml:space="preserve">AU.3.052
Provide audit record reduction and report generation to support on-demand analysis and reporting.
• NIST SP 800-171 Rev 1 3.3.6
• NIST CSF v1.1 RS.AN-3
• CERT RMM v1.2 COMP:SG3.SP2
• NIST SP 800-53 Rev 4 AU-7 </t>
  </si>
  <si>
    <t>AM.4.226
Employ a capability to discover and identify systems with specific component attributes (e.g., firmware level, OS type) within your inventory.
• CMMC modification of Draft NIST SP 800-171B 3.4.3e
• CIS Controls v7.1 1.1, 1.2, 1.4, 1.5, 2.3, 2.4, 2.5
• NIST CSF v1.1 ID.AM-1, ID.AM-2
• CERT RMM v1.2 ADM:SG1.SP1
• NIST SP 800-53 Rev 4 CM-8</t>
  </si>
  <si>
    <t>AC.1.001
Limit information system access to authorized users, processes acting on behalf of authorized users, or devices (including other information systems).
• FAR Clause 52.204-21 b.1.i
• NIST SP 800-171 Rev 1 3.1.1
• CIS Controls v7.1 1.4, 1.6, 5.1, 14.6, 15.10, 16.8, 16.9, 16.11
• NIST CSF v1.1 PR.AC-1, PR.AC-3, PR.AC-4, PR.AC-6, PR.PT-3, PR.PT-4
• CERT RMM v1.2 TM:SG4.SP1
• NIST SP 800-53 Rev 4 AC-2, AC-3, AC-17
• AU ACSC Essential Eight</t>
  </si>
  <si>
    <t>AC.1.002
Limit information system access to the types of transactions and functions that authorized users are permitted to execute. 
• FAR Clause 52.204-21 b.1.ii
• NIST SP 800-171 Rev 1 3.1.2
• CIS Controls v7.1 1.4, 1.6, 5.1, 8.5, 14.6, 15.10, 16.8, 16.9, 16.11
• NIST CSF v1.1 PR.AC-1, PR.AC-3, PR.AC-4, PR.AC-6, PR.PT-3, PR.PT-4
• CERT RMM v1.2 TM:SG4.SP1
• NIST SP 800-53 Rev 4 AC-2, AC-3, AC-17</t>
  </si>
  <si>
    <t>AC.2.007
Employ the principle of least privilege, including for specific security functions and privileged accounts.
• NIST SP 800-171 Rev 1 3.1.5
• CIS Controls v7.1 14.6
• NIST CSF v1.1 PR.AC-4
• CERT RMM v1.2 KIM:SG4.SP1
• NIST SP 800-53 Rev 4 AC-6, AC-6(1), AC-6(5)
• UK NCSC Cyber Essentials</t>
  </si>
  <si>
    <t>AC.3.018
Prevent non-privileged users from executing privileged functions and capture the execution of such functions in audit logs.
• NIST SP 800-171 Rev 1 3.1.7
• NIST CSF v1.1 PR.AC-4
• CERT RMM v1.2 KIM:SG4.SP1
• NIST SP 800-53 Rev 4 AC-6(9), AC-6(10)</t>
  </si>
  <si>
    <t>AC.3.012
Protect wireless access using authentication and encryption. 
• NIST SP 800-171 Rev 1 3.1.17
• CIS Controls v7.1 15.7, 15.8
• NIST CSF v1.1 PR.PT-4
• CERT RMM v1.2 KIM:SG4.SP1
• NIST SP 800-53 Rev 4 AC-18(1)</t>
  </si>
  <si>
    <t>AC.2.011
Authorize wireless access prior to allowing such connections.
• NIST SP 800-171 Rev 1 3.1.16
• CIS Controls v7.1 15.1, 15.10
• NIST CSF v1.1 PR.PT-4
• CERT RMM v1.2 TM:SG2.SP2
• NIST SP 800-53 Rev 4 AC-18</t>
  </si>
  <si>
    <t>AC.3.020
Control connection of mobile devices.
• NIST SP 800-171 Rev 1 3.1.18
• CIS Controls v7.1 13.6, 16.7
• NIST CSF v1.1 PR.AC-3, PR.AC-6
• CERT RMM v1.2 TM:SG2.SP2
• NIST SP 800-53 Rev 4 AC-19
• UK NCSC Cyber Essentials</t>
  </si>
  <si>
    <t>AC.2.013
Monitor and control remote access sessions.
• NIST SP 800-171 Rev 1 3.1.12
• CIS Controls v7.1 12.11, 12.12
• NIST CSF v1.1 PR.AC-3, PR.PT-4
• CERT RMM v1.2 TM:SG2.SP2
• NIST SP 800-53 Rev 4 AC-17(1)</t>
  </si>
  <si>
    <t>AC.3.014
Employ cryptographic mechanisms to protect the confidentiality of remote access sessions.
• NIST SP 800-171 Rev 1 3.1.13
• CIS Controls v7.1 15.7, 15.8
• NIST CSF v1.1 PR.AC-3, PR.PT-4
• CERT RMM v1.2 KIM:SG4.SP1
• NIST SP 800-53 Rev 4 AC-17(2)</t>
  </si>
  <si>
    <t>AC.2.015
Route remote access via managed access control points. 
• NIST SP 800-171 Rev 1 3.1.14
• CIS Controls v7.1 15.5, 15.10
• NIST CSF v1.1 PR.AC-3, PR.PT-4
• CERT RMM v1.2 TM:SG2.SP2
• NIST SP 800-53 Rev 4 AC-17(3)</t>
  </si>
  <si>
    <t>AC.3.021
Authorize remote execution of privileged commands and remote access to security-relevant information. 
• NIST SP 800-171 Rev 1 3.1.15
• CIS Controls v7.1 8.8, 12.11, 12.12
• NIST CSF v1.1 PR.AC-3, PR.PT-4
• CERT RMM v1.2 TM:SG2.SP2
• NIST SP 800-53 Rev 4 AC-17(4)</t>
  </si>
  <si>
    <t>AC.1.003
Verify and control/limit connections to and use of external information systems. 
• FAR Clause 52.204-21 b.1.iii
• NIST SP 800-171 Rev 1 3.1.20
• CIS Controls v7.1 12.1, 12.4
• NIST CSF v1.1 ID.AM-4, PR.AC-3
• CERT RMM v1.2 EXD:SG3.SP1
• NIST SP 800-53 Rev 4 AC-20, AC-20(1)</t>
  </si>
  <si>
    <t>AC.2.016
Control the flow of CUI in accordance with approved authorizations. 
• NIST SP 800-171 Rev 1 3.1.3
• CIS Controls v7.1 12.1, 12.2, 12.5, 12.8, 13.3, 14.1, 14.6, 14.7
• NIST CSF v1.1 ID.AM-3, PR.AC-5, PR.DS-5, PR.PT-4
• CERT RMM v1.2 TM:SG4.SP1
• NIST SP 800-53 Rev 4 AC-4
• UK NCSC Cyber Essentials</t>
  </si>
  <si>
    <t>AC.3.022
Encrypt CUI on mobile devices and mobile computing platforms. 
• NIST SP 800-171 Rev 1 3.1.19
• CIS Controls v7.1 13.6
• NIST CSF v1.1 PR.AC-3
• CERT RMM v1.2 KIM:SG4.SP1
• NIST SP 800-53 Rev 4 AC-19(5)</t>
  </si>
  <si>
    <t>CA.2.157
Develop, document, and periodically update system security plans that describe system boundaries, system environments of operation, how security requirements are implemented, and the relationships with or connections to other systems. 
• NIST SP 800-171 Rev 1 3.12.4
• NIST CSF v1.1 PR.IP-7
• NIST SP 800-53 Rev 4 PL-2</t>
  </si>
  <si>
    <t>CA.2.158
Periodically assess the security controls in organizational systems to determine if the controls are effective in their application. 
• NIST SP 800-171 Rev 1 3.12.1
• NIST CSF v1.1 DE.DP-3
• NIST SP 800-53 Rev 4 CA-2</t>
  </si>
  <si>
    <t>CA.2.159
Develop and implement plans of action designed to correct deficiencies and reduce or eliminate vulnerabilities in organizational systems.
• NIST SP 800-171 Rev 1 3.12.2
• CERT RMM v1.2 RISK:SG5.SP1
• NIST SP 800-53 Rev 4 CA-5</t>
  </si>
  <si>
    <t>CA.3.161
Monitor security controls on an ongoing basis to ensure the continued effectiveness of the controls. 
• NIST SP 800-171 Rev 1 3.12.3
• NIST CSF v1.1 PR.IP-7, DE.DP-5
• CERT RMM v1.2 MON:SG1.SP1
• NIST SP 800-53 Rev 4 CA-7</t>
  </si>
  <si>
    <t>CA.3.162
Employ a security assessment of enterprise software that has been developed internally, for internal use, and that has been organizationally defined as an area of risk.
• CMMC
• CIS Controls v7.1 18.1, 18.2</t>
  </si>
  <si>
    <t>CA.4.163
Create, maintain, and leverage a security strategy and roadmap for organizational cybersecurity improvement. 
• NIST CSF v1.1 ID.RM-1, RS.IM-1, RS.IM-2, RC.IM-1, and RC.IM-2
• NIST SP 800-53 Rev 4 PL-1</t>
  </si>
  <si>
    <t>CA.4.164
Conduct penetration testing periodically, leveraging automated scanning tools and ad hoc tests using human experts. 
• CMMC modification of Draft NIST SP 800-171B 3.12.1e
• CIS Controls v7.1 20.2
• NIST SP 800-53 Rev 4 CA-8</t>
  </si>
  <si>
    <t>CA.4.227
Periodically perform red teaming against organizational assets in order to validate defensive capabilities.
• CMMC
• CIS Controls v7.1 20.3
• NIST SP 800-53 Rev 4 CA-8(2)</t>
  </si>
  <si>
    <t>SA.3.169
Receive and respond to cyber threat intelligence from information sharing forums and sources and communicate to stakeholders.
• CMMC
• NIST CSF v1.1 ID.RA-2
• NIST SP 800-53 Rev 4 PM-16</t>
  </si>
  <si>
    <t>SA.4.171
Establish and maintain a cyber threat hunting capability to search for indicators of compromise in organizational systems and detect, track, and disrupt threats that evade existing controls. 
• Draft NIST SP 800-171B 3.11.2e
• NIST CSF v1.1 DE.CM-1, DE.CM-2, DE.CM-3, DE.CM-4, DE.CM-5, DE.CM-6, DE.CM.7, DE.CM-8
• NIST SP 800-53 Rev 4 PM-16</t>
  </si>
  <si>
    <t>SA.4.173
Design network and system security capabilities to leverage, integrate, and share indicators of compromise. 
• CMMC
• NIST SP 800-53 Rev 4 SI-4(24)</t>
  </si>
  <si>
    <t>SC.1.175
Monitor, control, and protect organizational communications (i.e., information transmitted or received by organizational information systems) at the external boundaries and key internal boundaries of the information systems.
• FAR Clause 52.204-21 b.1.x
• NIST SP 800-171 Rev 1 3.13.1
• NIST CSF v1.1 PR.PT-4
• NIST SP 800-53 Rev 4 SC-7
• UK NCSC Cyber Essentials</t>
  </si>
  <si>
    <t>SC.1.176
Implement subnetworks for publicly accessible system components that are physically or logically separated from internal networks.
• FAR Clause 52.204-21 b.1.xi
• NIST SP 800-171 Rev 1 3.13.5
• CIS Controls v7.1 14.1
• NIST CSF v1.1 PR.AC-5
• NIST SP 800-53 Rev 4 SC-7
• UK NCSC Cyber Essentials</t>
  </si>
  <si>
    <t>SC.2.178
Prohibit remote activation of collaborative computing devices and provide indication of devices in use to users present at the device. 
• NIST SP 800-171 Rev 1 3.13.12
• NIST CSF v1.1 PR.AC-3
• NIST SP 800-53 Rev 4 SC-15</t>
  </si>
  <si>
    <t>SC.3.177
Employ FIPS-validated cryptography when used to protect the confidentiality of CUI. 
• NIST SP 800-171 Rev 1 3.13.11
• CIS Controls v7.1 14.4, 14.8
• NIST CSF v1.1 PR.DS-1, PR.DS-2
• CERT RMM v1.2 KIM:SG4.SP1
• NIST SP 800-53 Rev 4 SC-13</t>
  </si>
  <si>
    <t>SC.3.180
Employ architectural designs, software development techniques, and systems engineering principles that promote effective information security within organizational systems.
• NIST SP 800-171 Rev 1 3.13.2
• CIS Controls v7.1 5.1, 5.2, 5.4
• NIST SP 800-53 Rev 4 SA-8</t>
  </si>
  <si>
    <t>SC.3.181
Separate user functionality from system management functionality. 
• NIST SP 800-171 Rev 1 3.13.3
• CIS Controls v7.1 4.3
• CERT RMM v1.2 KIM:SG2.SP2
• NIST SP 800-53 Rev 4 SC-2
• AU ACSC Essential Eight</t>
  </si>
  <si>
    <t>SC.3.182
Prevent unauthorized and unintended information transfer via shared system resources. 
• NIST SP 800-171 Rev 1 3.13.4
• NIST SP 800-53 Rev 4 SC-4</t>
  </si>
  <si>
    <t>SC.3.183
Deny network communications traffic by default and allow network communications traffic by exception (i.e., deny all, permit by exception).
• NIST SP 800-171 Rev 1 3.13.6
• NIST SP 800-53 Rev 4 SC-7(5)</t>
  </si>
  <si>
    <t>SC.3.184
Prevent remote devices from simultaneously establishing non-remote connections with organizational systems and communicating via some other connection to resources in external networks (i.e., split tunneling). 
• NIST SP 800-171 Rev 1 3.13.7
• CIS Controls v7.1 12.12
• NIST CSF v1.1 PR.AC-3
• NIST SP 800-53 Rev 4 SC-7(7)</t>
  </si>
  <si>
    <t>SC.3.185
Implement cryptographic mechanisms to prevent unauthorized disclosure of CUI during transmission unless otherwise protected by alternative physical safeguards.
• NIST SP 800-171 Rev 1 3.13.8
• NIST CSF v1.1 PR.AC-2
• CERT RMM v1.2 KIM:SG4.SP1
• NIST SP 800-53 Rev 4 SC-8(1)</t>
  </si>
  <si>
    <t>SC.3.186
Terminate network connections associated with communications sessions at the end of the sessions or after a defined period of inactivity. 
• NIST SP 800-171 Rev 1 3.13.9
• NIST SP 800-53 Rev 4 SC-10</t>
  </si>
  <si>
    <t>SC.3.187
Establish and manage cryptographic keys for cryptography employed in organizational systems. 
• NIST SP 800-171 Rev 1 3.13.10
• CERT RMM v1.2 KIM:SG4.SP1
• NIST SP 800-53 Rev 4 SC-12</t>
  </si>
  <si>
    <t>SC.3.188
Control and monitor the use of mobile code. 
• NIST SP 800-171 Rev 1 3.13.13
• NIST CSF v1.1 DE.CM-5
• NIST SP 800-53 Rev 4 SC-18
• AU ACSC Essential Eight</t>
  </si>
  <si>
    <t>SC.3.189
Control and monitor the use of Voice over Internet Protocol (VoIP) technologies.
• NIST SP 800-171 Rev 1 3.13.14
• NIST SP 800-53 Rev 4 SC-19</t>
  </si>
  <si>
    <t>SC.3.190
Protect the authenticity of communications sessions.
• NIST SP 800-171 Rev 1 3.13.15
• NIST SP 800-53 Rev 4 SC-23</t>
  </si>
  <si>
    <t>SC.3.191
Protect the confidentiality of CUI at rest.
• NIST SP 800-171 Rev 1 3.13.16
• CIS Controls v7.1 14.8
• NIST CSF v1.1 PR.DS-1
• NIST SP 800-53 Rev 4 SC-28</t>
  </si>
  <si>
    <t>SC.3.192
Implement Domain Name System (DNS) filtering services.
• CMMC
• CIS Controls v7.1 7.7
• NIST SP 800-53 Rev 4 SC-20</t>
  </si>
  <si>
    <t>SC.4.228
Isolate administration of organizationally defined high-value critical network infrastructure components and servers.
• CMMC modification of NIST SP 800-171 Rev 1 3.13.2
• CIS Controls v7.1 11.7, 14.1
• NIST CSF v1.1 PR.AC-5
• NIST SP 800-53 Rev 4 SA-8</t>
  </si>
  <si>
    <t>SC.4.202
Employ mechanisms to analyze executable code and scripts (e.g., sandbox) traversing Internet network boundaries or other organizationally defined boundaries. 
• CMMC
• NIST SP 800-53 Rev 4 SC-44</t>
  </si>
  <si>
    <t>SC.4.229
Utilize a URL categorization service and implement techniques to enforce URL filtering of websites that are not approved by the organization.
• CMMC
• CIS Controls v7.1 7.4</t>
  </si>
  <si>
    <t>SC.5.198
Configure monitoring systems to record packets passing through the organization's Internet network boundaries and other organizationally defined boundaries.
• CIS Controls v7.1 12.5</t>
  </si>
  <si>
    <t>SI.1.210
Identify, report, and correct information and information system flaws in a timely manner.
• FAR Clause 52.204-21 b.1.xii
• NIST SP 800-171 Rev 1 3.14.1
• NIST CSF v1.1 RS.CO-2, RS.MI-3
• CERT RMM v1.2 VAR:SG2.SP2
• NIST SP 800-53 Rev 4 SI-2
• UK NCSC Cyber Essentials
• AU ACSC Essential Eight</t>
  </si>
  <si>
    <t>SI.1.211
Provide protection from malicious code at appropriate locations within organizational information systems.
• FAR Clause 52.204-21 b.1.xiii
• NIST SP 800-171 Rev 1 3.14.2
• CIS Controls v7.1 8.1
• NIST CSF v1.1 DE.CM-4
• CERT RMM v1.2 VAR:SG3.SP1
• NIST SP 800-53 Rev 4 SI-3
• AU ACSC Essential Eight</t>
  </si>
  <si>
    <t>SI.1.213
Perform periodic scans of the information system and real-time scans of files from external sources as files are downloaded, opened, or executed.
• FAR Clause 52.204-21 b.1.xv
• NIST SP 800-171 Rev 1 3.14.5
• CIS Controls v7.1 8.4, 8.7
• NIST CSF v1.1 DE.CM-4
• CERT RMM v1.2 VAR:SG3.SP1
• NIST SP 800-53 Rev 4 SI-3</t>
  </si>
  <si>
    <t>SI.1.212
Update malicious code protection mechanisms when new releases are available.
• FAR Clause 52.204-21 b.1.xiv
• NIST SP 800-171 Rev 1 3.14.4
• CIS Controls v7.1 8.2
• NIST CSF v1.1 DE.CM-4
• CERT RMM v1.2 VAR:SG3.SP1
• NIST SP 800-53 Rev 4 SI-3</t>
  </si>
  <si>
    <t>SI.2.214
Monitor system security alerts and advisories and take action in response.
• NIST SP 800-171 Rev 1 3.14.3
• CIS Controls v7.1 6.5, 6.6
• NIST CSF v1.1 RS.AN-5
• CERT RMM v1.2 IMC:SG2.SP1
• NIST SP 800-53 Rev 4 SI-5</t>
  </si>
  <si>
    <t>SI.2.216
Monitor organizational systems, including inbound and outbound communications traffic, to detect attacks and indicators of potential attacks.
• NIST SP 800-171 Rev 1 3.14.6
• CIS Controls v7.1 12.6
• NIST CSF v1.1 DE.CM-1
• CERT RMM v1.2 MON:SG1.SP3
• NIST SP 800-53 Rev 4 SI-4</t>
  </si>
  <si>
    <t>SI.2.217
Identify unauthorized use of organizational systems. 
• NIST SP 800-171 Rev 1 3.14.7
• NIST CSF v1.1 DE.CM-1, DE.CM-7
• CERT RMM v1.2 MON:SG1.SP3
• NIST SP 800-53 Rev 4 SI-4</t>
  </si>
  <si>
    <t>SI.3.218
Employ spam protection mechanisms at information system access entry and exit points.
• CMMC
• NIST SP 800-53 Rev 4 SI-8</t>
  </si>
  <si>
    <t>SI.3.219
Implement email forgery protections.
• CMMC
• CIS Controls v7.1 7.8
• NIST CSF v1.1 PR.DS-2
• CERT RMM v1.2 KIM:SG4.SP1
• NIST SP 800-53 Rev 4 SC-8</t>
  </si>
  <si>
    <t>SI.3.220
Utilize sandboxing to detect or block potentially malicious email.
• CIS Controls v7.1 7.10
• NIST SP 800-53 Rev 4 SC-44</t>
  </si>
  <si>
    <t>SI.4.221
Use threat indicator information relevant to the information and systems being protected and effective mitigations obtained from external organizations to inform intrusion detection and threat hunting.
• Draft NIST SP 800-171B 3.14.6e
• NIST CSF v1.1 ID.RA-2, ID.RA-3</t>
  </si>
  <si>
    <t>SI.5.223
Monitor individuals and system components on an ongoing basis for anomalous or suspicious behavior.
• Draft NIST SP 800-171B 3.14.2e
• CIS Controls v7.1 13.3, 16.12, 16.13
• NIST CSF v1.1 DE.CM-1, DE.CM-3
• CERT RMM v1.2 MON:SG1.SP3
• NIST SP 800-53 Rev 4 SI-4</t>
  </si>
  <si>
    <t>C029
Manage backups</t>
  </si>
  <si>
    <t>RE.2.137
Regularly perform and test data backups.
• CIS Controls v7.1 10.1, 10.3
• NIST CSF v1.1 PR.IP-4
• CERT RMM v1.2 KIM:SG6.SP1
• NIST 800-53 Rev 4 CP-9
• AU ACSC Essential Eight</t>
  </si>
  <si>
    <t>RE.3.139
Regularly perform complete, comprehensive, and resilient data backups as organizationally defined.
• CIS Controls v7.1 10.1, 10.2, 10.5
• CERT RMM v1.2 KIM:SG6.SP1
• NIST 800-53 Rev 4 CP-9, CP-9(3)</t>
  </si>
  <si>
    <r>
      <t xml:space="preserve">IA.3.083
Use multifactor authentication for local and network access to privileged accounts and for network access to non-privileged accounts. 
</t>
    </r>
    <r>
      <rPr>
        <b/>
        <sz val="12"/>
        <rFont val="Calibri"/>
        <family val="2"/>
      </rPr>
      <t xml:space="preserve">• </t>
    </r>
    <r>
      <rPr>
        <sz val="12"/>
        <rFont val="Calibri"/>
        <family val="2"/>
      </rPr>
      <t>NIST SP 800-171 Rev 1 3.5.3
• CIS Controls v7.1 4.5, 11.5, 12.11
• NIST CSF v1.1 PR.AC-1, PR.AC-6, PR.AC-7
• CERT RMM v1.2 TM:SG4.SP1
• NIST SP 800-53 Rev 4 IA-2(1), IA-2(2), IA-2(3)
• AU ACSC Essential Eight</t>
    </r>
  </si>
  <si>
    <t>SC.4.197
Employ physical and logical isolation techniques in the system and security architecture and/or where deemed appropriate by the organization.
• CMMC modification of Draft NIST SP 800-171B 3.13.4e
• CIS Controls v7.1 14.1
• NIST CSF v1.1 PR.AC-5</t>
  </si>
  <si>
    <t>RM.4.149
Catalog and periodically update threat profiles and adversary TTPs.
• CMMC
• NIST CSF v1.1 DE.AE-2
• CERT RMM v1.2 VAR:SG2.SP1</t>
  </si>
  <si>
    <t>SC.2.179
Use encrypted sessions for the management of network devices.
• CMMC 
• CIS Controls v7.1 11.5</t>
  </si>
  <si>
    <t>Note: The maturity processes are repeated in each domain.  When being used in a specific domain, the first two characters of the identifier change from "ML" to the appropriate two-character domain identifier, while the rest of the identifier remains unchanged from what is shown above.</t>
  </si>
  <si>
    <t xml:space="preserve">ML.2.998
Document the CMMC practices to implement the [DOMAIN NAME] policy.
• CERT RMM v1.2 GG2.GP2 subpractice 2
</t>
  </si>
  <si>
    <t>Copyright 2020 Carnegie Mellon University and The Johns Hopkins University Applied Physics Laboratory LLC.
This material is based upon work funded and supported by the Department of Defense under Contract No. FA8702-15-D-0002 with Carnegie Mellon University for the operation of the Software Engineering Institute, a federally funded research and development center and under Contract No. HQ0034-13-D-0003 and Contract No. N00024-13-D-6400 with The Johns Hopkins University Applied Physics Laboratory LLC, a University Affiliated Research Center.
The view, opinions, and/or findings contained in this material are those of the author(s) and should not be construed as an official Government position, policy, or decision, unless designated by other documentation.
NO WARRANTY.  THIS MATERIAL IS FURNISHED ON AN "AS-IS" BASIS.  CARNEGIE MELLON UNIVERSITY AND THE JOHNS HOPKINS UNIVERSITY APPLIED PHYSICS LABORATORY LLC MAKE NO WARRANTIES OF ANY KIND, EITHER EXPRESSED OR IMPLIED, AS TO ANY MATTER INCLUDING, BUT NOT LIMITED TO, WARRANTY OF FITNESS FOR PURPOSE OR MERCHANTABILITY, EXCLUSIVITY, OR RESULTS OBTAINED FROM USE OF THE MATERIAL NOR ANY WARRANTY OF ANY KIND WITH RESPECT TO FREEDOM FROM PATENT, TRADEMARK, OR COPYRIGHT INFRINGEMENT.
[DISTRIBUTION STATEMENT A] Approved for public release.
DM19-0824</t>
  </si>
  <si>
    <t>This document provides a view of the model in spreadsheet format.  
The content of this document is identical to the content of Appendix A.</t>
  </si>
  <si>
    <t>AC.4.023
Control information flows between security domains on connected systems.
• CMMC modification of Draft NIST SP 800-171B 3.1.3e 
• CIS Controls v7.1 12.1, 12.2, 13.1, 13.3, 14.1, 14.2, 14.5, 14.6, 14.7, 15.6, 15.10
• NIST CSF v1.1 ID.AM-3, PR.AC-5, PR.DS-5, PR.PT-4, DE.AE-1
• NIST SP 800-53 Rev 4 AC-4, AC-4(1), AC-4(6), AC-4(8), AC-4(12), AC-4(13), AC-4(15), AC-4(20)</t>
  </si>
  <si>
    <t>AT.4.059
Provide awareness training focused on recognizing and responding to threats from social engineering, advanced persistent threat actors, breaches, and suspicious behaviors; update the training at least annually or when there are significant changes to the threat.
• Draft NIST SP 800-171B 3.2.1e
• CIS Controls v7.1 17.1, 17.2, 17.4
• NIST CSF v1.1 PR.AT-1, PR.AT-2, PR.AT-3, PR.AT-4, PR.AT-5
• CERT RMM v1.2 OTA:SG2.SP1
• NIST SP 800-53 Rev 4 AT-2</t>
  </si>
  <si>
    <t>AT.4.060
Include practical exercises in awareness training that are aligned with current threat scenarios and provide feedback to individuals involved in the training.
• CMMC modification of Draft NIST SP 800-171B 3.2.2e
• CIS Controls v7.1 17.1, 17.2, 17.4
• NIST CSF v1.1 PR.AT-1, PR.AT-2, PR.AT-3, PR.AT-4, PR.AT-5
• CERT RMM v1.2 OTA:SG3.SP1, OTA:SG3.SP2
• NIST SP 800-53 Rev 4 AT-2(1)</t>
  </si>
  <si>
    <t>CM.2.066
Analyze the security impact of changes prior to implementation. 
• NIST SP 800-171 Rev 1 3.4.4
• NIST CSF v1.1 PR.IP-3
• NIST SP 800-53 Rev 4 CM-4</t>
  </si>
  <si>
    <t>SC.5.230
Enforce port and protocol compliance.
• CMMC
• CIS Controls v7.1 9.2
• NIST 800-53 Rev 4 SC-7(17)</t>
  </si>
  <si>
    <t>CMMC Model Version 1.02</t>
  </si>
  <si>
    <t>18 March 2020</t>
  </si>
  <si>
    <t>Access Control
AC</t>
  </si>
  <si>
    <t>Asset Management
AM</t>
  </si>
  <si>
    <t>Awareness and Training
AT</t>
  </si>
  <si>
    <t>Configuration Management
CM</t>
  </si>
  <si>
    <t>Audit and Accountability
AU</t>
  </si>
  <si>
    <t>Identification and Authentication
IA</t>
  </si>
  <si>
    <t>Incident Resonse
IR</t>
  </si>
  <si>
    <t>Maintenance
MA</t>
  </si>
  <si>
    <t>Media Protection
MP</t>
  </si>
  <si>
    <t>Personnel Security
PS</t>
  </si>
  <si>
    <t>Physical Protection
PE</t>
  </si>
  <si>
    <t>Recovery
RE</t>
  </si>
  <si>
    <t>Risk Management
RM</t>
  </si>
  <si>
    <t>Security Assessment
CA</t>
  </si>
  <si>
    <t>Situational Awareness
SA</t>
  </si>
  <si>
    <t>System and Communications Protection
SC</t>
  </si>
  <si>
    <t>System and Information Integrity
SI</t>
  </si>
  <si>
    <t>Level 3
Good Cyber Hygiene
58 Practices</t>
  </si>
  <si>
    <t>Level 2
Intermediate Cyber Hygiene
55 Practices</t>
  </si>
  <si>
    <t>Level 1
Basic Cyber Hygiene
17 Practices</t>
  </si>
  <si>
    <t>001
002
003
004</t>
  </si>
  <si>
    <t>012
014
017
018
019
020
021
022</t>
  </si>
  <si>
    <t>036</t>
  </si>
  <si>
    <t>058</t>
  </si>
  <si>
    <t>056
057</t>
  </si>
  <si>
    <t>067
068
069</t>
  </si>
  <si>
    <t>061
062
063
064
065
066</t>
  </si>
  <si>
    <t>083
084
085
086</t>
  </si>
  <si>
    <t>078
079
080
081
082</t>
  </si>
  <si>
    <t>098
099</t>
  </si>
  <si>
    <t>076
077</t>
  </si>
  <si>
    <t>115
116</t>
  </si>
  <si>
    <t>111
112
113
114</t>
  </si>
  <si>
    <t>122
123
124
125</t>
  </si>
  <si>
    <t>119
120
121</t>
  </si>
  <si>
    <t>118</t>
  </si>
  <si>
    <t>127
128</t>
  </si>
  <si>
    <t>136</t>
  </si>
  <si>
    <t>135</t>
  </si>
  <si>
    <t>131
132
133
134</t>
  </si>
  <si>
    <t>139</t>
  </si>
  <si>
    <t>141
142
143</t>
  </si>
  <si>
    <t>157
158
159</t>
  </si>
  <si>
    <t>169</t>
  </si>
  <si>
    <t>175
176</t>
  </si>
  <si>
    <t>218
219
220</t>
  </si>
  <si>
    <t>210
211
212
213</t>
  </si>
  <si>
    <t>214
216
217</t>
  </si>
  <si>
    <t>005
006
007
008
009
010
011
013
015
016</t>
  </si>
  <si>
    <r>
      <t xml:space="preserve">041
042
043
</t>
    </r>
    <r>
      <rPr>
        <sz val="12"/>
        <color rgb="FFFF0000"/>
        <rFont val="Calibri"/>
        <family val="2"/>
        <scheme val="minor"/>
      </rPr>
      <t>044</t>
    </r>
  </si>
  <si>
    <r>
      <t xml:space="preserve">045
046
</t>
    </r>
    <r>
      <rPr>
        <sz val="12"/>
        <color rgb="FFFF0000"/>
        <rFont val="Calibri"/>
        <family val="2"/>
        <scheme val="minor"/>
      </rPr>
      <t>048</t>
    </r>
    <r>
      <rPr>
        <sz val="12"/>
        <color theme="1"/>
        <rFont val="Calibri"/>
        <family val="2"/>
        <scheme val="minor"/>
      </rPr>
      <t xml:space="preserve">
049
050
051
052</t>
    </r>
  </si>
  <si>
    <r>
      <t xml:space="preserve">161
</t>
    </r>
    <r>
      <rPr>
        <sz val="12"/>
        <color rgb="FFFF0000"/>
        <rFont val="Calibri"/>
        <family val="2"/>
        <scheme val="minor"/>
      </rPr>
      <t>162</t>
    </r>
  </si>
  <si>
    <r>
      <t xml:space="preserve">092
</t>
    </r>
    <r>
      <rPr>
        <sz val="12"/>
        <color rgb="FFFF0000"/>
        <rFont val="Calibri"/>
        <family val="2"/>
        <scheme val="minor"/>
      </rPr>
      <t>093</t>
    </r>
    <r>
      <rPr>
        <sz val="12"/>
        <color theme="1"/>
        <rFont val="Calibri"/>
        <family val="2"/>
        <scheme val="minor"/>
      </rPr>
      <t xml:space="preserve">
</t>
    </r>
    <r>
      <rPr>
        <sz val="12"/>
        <color rgb="FFFF0000"/>
        <rFont val="Calibri"/>
        <family val="2"/>
        <scheme val="minor"/>
      </rPr>
      <t>094</t>
    </r>
    <r>
      <rPr>
        <sz val="12"/>
        <color theme="1"/>
        <rFont val="Calibri"/>
        <family val="2"/>
        <scheme val="minor"/>
      </rPr>
      <t xml:space="preserve">
</t>
    </r>
    <r>
      <rPr>
        <sz val="12"/>
        <color rgb="FFFF0000"/>
        <rFont val="Calibri"/>
        <family val="2"/>
        <scheme val="minor"/>
      </rPr>
      <t>096</t>
    </r>
    <r>
      <rPr>
        <sz val="12"/>
        <color theme="1"/>
        <rFont val="Calibri"/>
        <family val="2"/>
        <scheme val="minor"/>
      </rPr>
      <t xml:space="preserve">
</t>
    </r>
    <r>
      <rPr>
        <sz val="12"/>
        <color rgb="FFFF0000"/>
        <rFont val="Calibri"/>
        <family val="2"/>
        <scheme val="minor"/>
      </rPr>
      <t>097</t>
    </r>
  </si>
  <si>
    <r>
      <rPr>
        <sz val="12"/>
        <color rgb="FFFF0000"/>
        <rFont val="Calibri"/>
        <family val="2"/>
        <scheme val="minor"/>
      </rPr>
      <t>137</t>
    </r>
    <r>
      <rPr>
        <sz val="12"/>
        <color theme="1"/>
        <rFont val="Calibri"/>
        <family val="2"/>
        <scheme val="minor"/>
      </rPr>
      <t xml:space="preserve">
138</t>
    </r>
  </si>
  <si>
    <r>
      <rPr>
        <sz val="12"/>
        <color rgb="FFFF0000"/>
        <rFont val="Calibri"/>
        <family val="2"/>
        <scheme val="minor"/>
      </rPr>
      <t>144</t>
    </r>
    <r>
      <rPr>
        <sz val="12"/>
        <color theme="1"/>
        <rFont val="Calibri"/>
        <family val="2"/>
        <scheme val="minor"/>
      </rPr>
      <t xml:space="preserve">
</t>
    </r>
    <r>
      <rPr>
        <sz val="12"/>
        <color rgb="FFFF0000"/>
        <rFont val="Calibri"/>
        <family val="2"/>
        <scheme val="minor"/>
      </rPr>
      <t>146</t>
    </r>
    <r>
      <rPr>
        <sz val="12"/>
        <color theme="1"/>
        <rFont val="Calibri"/>
        <family val="2"/>
        <scheme val="minor"/>
      </rPr>
      <t xml:space="preserve">
</t>
    </r>
    <r>
      <rPr>
        <sz val="12"/>
        <color rgb="FFFF0000"/>
        <rFont val="Calibri"/>
        <family val="2"/>
        <scheme val="minor"/>
      </rPr>
      <t>147</t>
    </r>
  </si>
  <si>
    <r>
      <t xml:space="preserve">178
</t>
    </r>
    <r>
      <rPr>
        <sz val="12"/>
        <color rgb="FFFF0000"/>
        <rFont val="Calibri"/>
        <family val="2"/>
        <scheme val="minor"/>
      </rPr>
      <t>179</t>
    </r>
  </si>
  <si>
    <r>
      <t xml:space="preserve">177
180
181
182
183
184
185
186
187
188
189
190
191
</t>
    </r>
    <r>
      <rPr>
        <sz val="12"/>
        <color rgb="FFFF0000"/>
        <rFont val="Calibri"/>
        <family val="2"/>
        <scheme val="minor"/>
      </rPr>
      <t>192</t>
    </r>
    <r>
      <rPr>
        <sz val="12"/>
        <color theme="1"/>
        <rFont val="Calibri"/>
        <family val="2"/>
        <scheme val="minor"/>
      </rPr>
      <t xml:space="preserve">
</t>
    </r>
    <r>
      <rPr>
        <sz val="12"/>
        <color rgb="FFFF0000"/>
        <rFont val="Calibri"/>
        <family val="2"/>
        <scheme val="minor"/>
      </rPr>
      <t>193</t>
    </r>
  </si>
  <si>
    <t>CMMC Practice</t>
  </si>
  <si>
    <t>NIST SP 800-171</t>
  </si>
  <si>
    <t>Request Type</t>
  </si>
  <si>
    <t>Material Requested</t>
  </si>
  <si>
    <t>AC.1.001</t>
  </si>
  <si>
    <t>3.1.1</t>
  </si>
  <si>
    <t>Examine/Test/ Interviews</t>
  </si>
  <si>
    <t>Artifacts</t>
  </si>
  <si>
    <t>AC.1.002</t>
  </si>
  <si>
    <t>3.1.2</t>
  </si>
  <si>
    <t>NOTE: Mark items that are NOT implemented and currently (N/A)</t>
  </si>
  <si>
    <t>Interviews</t>
  </si>
  <si>
    <t>AC.1.003</t>
  </si>
  <si>
    <t>3.1.20</t>
  </si>
  <si>
    <t>Examine/Test</t>
  </si>
  <si>
    <t>AC.1.004</t>
  </si>
  <si>
    <t>3.1.22</t>
  </si>
  <si>
    <t>AC.2.005</t>
  </si>
  <si>
    <t>3.1.9</t>
  </si>
  <si>
    <t>Interviews/ Artifacts</t>
  </si>
  <si>
    <t>AC.2.006</t>
  </si>
  <si>
    <t>3.1.21</t>
  </si>
  <si>
    <t>Examine/Test/ Artifacts</t>
  </si>
  <si>
    <t>AC.2.007</t>
  </si>
  <si>
    <t>3.1.5</t>
  </si>
  <si>
    <t>Examine/Test/ Interviews/ Artifacts</t>
  </si>
  <si>
    <t>AC.2.008</t>
  </si>
  <si>
    <t>3.1.6</t>
  </si>
  <si>
    <t>AC.2.009</t>
  </si>
  <si>
    <t>3.1.8</t>
  </si>
  <si>
    <t>AC.2.010</t>
  </si>
  <si>
    <t>3.1.10</t>
  </si>
  <si>
    <t>AC.2.011</t>
  </si>
  <si>
    <t>3.1.16</t>
  </si>
  <si>
    <t>AC.2.013</t>
  </si>
  <si>
    <t>3.1.12</t>
  </si>
  <si>
    <t>AC.2.015</t>
  </si>
  <si>
    <t>3.1.14</t>
  </si>
  <si>
    <t>AC.2.016</t>
  </si>
  <si>
    <t>3.1.3</t>
  </si>
  <si>
    <t>Provide brief overview of current status of implementation</t>
  </si>
  <si>
    <t>AC.3.012</t>
  </si>
  <si>
    <t>3.1.17</t>
  </si>
  <si>
    <t>AC.3.014</t>
  </si>
  <si>
    <t>3.1.13</t>
  </si>
  <si>
    <t>AC.3.017</t>
  </si>
  <si>
    <t>3.1.4</t>
  </si>
  <si>
    <t>AC.3.018</t>
  </si>
  <si>
    <t>3.1.7</t>
  </si>
  <si>
    <t>AC.3.019</t>
  </si>
  <si>
    <t>3.1.11</t>
  </si>
  <si>
    <t>AC.3.020</t>
  </si>
  <si>
    <t>3.1.18</t>
  </si>
  <si>
    <t>AC.3.021</t>
  </si>
  <si>
    <t>3.1.15</t>
  </si>
  <si>
    <t>AC.3.022</t>
  </si>
  <si>
    <t>3.1.19</t>
  </si>
  <si>
    <t>AM.3.036</t>
  </si>
  <si>
    <t>N/A</t>
  </si>
  <si>
    <t>AT.2.056</t>
  </si>
  <si>
    <t>3.2.1</t>
  </si>
  <si>
    <t>AT.2.057</t>
  </si>
  <si>
    <t>3.2.2</t>
  </si>
  <si>
    <t>AT.3.058</t>
  </si>
  <si>
    <t>3.2.3</t>
  </si>
  <si>
    <t>AU.2.041</t>
  </si>
  <si>
    <t>3.3.2</t>
  </si>
  <si>
    <t>AU.2.042</t>
  </si>
  <si>
    <t>3.3.1</t>
  </si>
  <si>
    <t>AU.2.043</t>
  </si>
  <si>
    <t>3.3.7</t>
  </si>
  <si>
    <t>AU.2.044</t>
  </si>
  <si>
    <t>AU.3.045</t>
  </si>
  <si>
    <t>3.3.3</t>
  </si>
  <si>
    <t>AU.3.046</t>
  </si>
  <si>
    <t>3.3.4</t>
  </si>
  <si>
    <t>AU.3.048</t>
  </si>
  <si>
    <t>AU.3.049</t>
  </si>
  <si>
    <t>3.3.8</t>
  </si>
  <si>
    <t>AU.3.050</t>
  </si>
  <si>
    <t>3.3.9</t>
  </si>
  <si>
    <t>AU.3.051</t>
  </si>
  <si>
    <t>3.3.5</t>
  </si>
  <si>
    <t>AU.3.052</t>
  </si>
  <si>
    <t>3.3.6</t>
  </si>
  <si>
    <t>CA.2.157</t>
  </si>
  <si>
    <t>3.12.4</t>
  </si>
  <si>
    <t>Walkthrough of SSP Development, documentation, and periodic updating process</t>
  </si>
  <si>
    <t>CA.2.158</t>
  </si>
  <si>
    <t>3.12.1</t>
  </si>
  <si>
    <t>CA.2.159</t>
  </si>
  <si>
    <t>3.12.2</t>
  </si>
  <si>
    <t>CA.3.161</t>
  </si>
  <si>
    <t>3.12.3</t>
  </si>
  <si>
    <t>CA.3.162</t>
  </si>
  <si>
    <t>CM.2.061</t>
  </si>
  <si>
    <t>3.4.1</t>
  </si>
  <si>
    <t>CM.2.062</t>
  </si>
  <si>
    <t>3.4.6</t>
  </si>
  <si>
    <t>CM.2.063</t>
  </si>
  <si>
    <t>3.4.9</t>
  </si>
  <si>
    <t>CM.2.064</t>
  </si>
  <si>
    <t>3.4.2</t>
  </si>
  <si>
    <t>CM.2.065</t>
  </si>
  <si>
    <t>3.4.3</t>
  </si>
  <si>
    <t>CM.2.066</t>
  </si>
  <si>
    <t>3.4.4</t>
  </si>
  <si>
    <t>CM.3.067</t>
  </si>
  <si>
    <t>3.4.5</t>
  </si>
  <si>
    <t>CM.3.068</t>
  </si>
  <si>
    <t>3.4.7</t>
  </si>
  <si>
    <t>CM.3.069</t>
  </si>
  <si>
    <t>3.4.8</t>
  </si>
  <si>
    <t>IA.1.076</t>
  </si>
  <si>
    <t>3.5.1</t>
  </si>
  <si>
    <t>IA.1.077</t>
  </si>
  <si>
    <t>3.5.2</t>
  </si>
  <si>
    <t>IA.2.078</t>
  </si>
  <si>
    <t>3.5.7</t>
  </si>
  <si>
    <t>IA.2.079</t>
  </si>
  <si>
    <t>3.5.8</t>
  </si>
  <si>
    <t>IA.2.080</t>
  </si>
  <si>
    <t>3.5.9</t>
  </si>
  <si>
    <t>IA.2.081</t>
  </si>
  <si>
    <t>3.5.10</t>
  </si>
  <si>
    <t>IA.2.082</t>
  </si>
  <si>
    <t>3.5.11</t>
  </si>
  <si>
    <t>IA.3.083</t>
  </si>
  <si>
    <t>3.5.3</t>
  </si>
  <si>
    <t>Provide brief overview of current status of implementation of MFA. Show current configuration.</t>
  </si>
  <si>
    <t>IA.3.084</t>
  </si>
  <si>
    <t>3.5.4</t>
  </si>
  <si>
    <t>IA.3.085</t>
  </si>
  <si>
    <t>3.5.5</t>
  </si>
  <si>
    <t>IA.3.086</t>
  </si>
  <si>
    <t>3.5.6</t>
  </si>
  <si>
    <t>IR.2.092</t>
  </si>
  <si>
    <t>3.6.1</t>
  </si>
  <si>
    <t>IR.2.093</t>
  </si>
  <si>
    <t>IR.2.094</t>
  </si>
  <si>
    <t>IR.2.096</t>
  </si>
  <si>
    <t>IR.2.097</t>
  </si>
  <si>
    <t>IR.3.098</t>
  </si>
  <si>
    <t>3.6.2</t>
  </si>
  <si>
    <t>IR.3.099</t>
  </si>
  <si>
    <t>3.6.3</t>
  </si>
  <si>
    <t>MA.2.11</t>
  </si>
  <si>
    <t>3.7.1</t>
  </si>
  <si>
    <t>MA.2.112</t>
  </si>
  <si>
    <t>3.7.2</t>
  </si>
  <si>
    <t>MA.2.113</t>
  </si>
  <si>
    <t>3.7.5</t>
  </si>
  <si>
    <t>MA.2.114</t>
  </si>
  <si>
    <t>3.7.6</t>
  </si>
  <si>
    <t>MA.3.115</t>
  </si>
  <si>
    <t>3.7.3</t>
  </si>
  <si>
    <t>MA.3.116</t>
  </si>
  <si>
    <t>3.7.4</t>
  </si>
  <si>
    <t>MP.1.118</t>
  </si>
  <si>
    <t>3.8.3</t>
  </si>
  <si>
    <t>MP.2.119</t>
  </si>
  <si>
    <t>3.8.1</t>
  </si>
  <si>
    <t>MP.2.120</t>
  </si>
  <si>
    <t>3.8.2</t>
  </si>
  <si>
    <t>MP.2.121</t>
  </si>
  <si>
    <t>3.8.7</t>
  </si>
  <si>
    <t>MP.3.122</t>
  </si>
  <si>
    <t>3.8.4</t>
  </si>
  <si>
    <t>MP.3.123</t>
  </si>
  <si>
    <t>3.8.8</t>
  </si>
  <si>
    <t>MP.3.124</t>
  </si>
  <si>
    <t>3.8.5</t>
  </si>
  <si>
    <t>MP.3.125</t>
  </si>
  <si>
    <t>3.8.6</t>
  </si>
  <si>
    <t>PE.1.131</t>
  </si>
  <si>
    <t>3.10.1</t>
  </si>
  <si>
    <t>PE.1.132</t>
  </si>
  <si>
    <t>3.10.3</t>
  </si>
  <si>
    <t>PE.1.133</t>
  </si>
  <si>
    <t>3.10.4</t>
  </si>
  <si>
    <t>PE.1.134</t>
  </si>
  <si>
    <t>3.10.5</t>
  </si>
  <si>
    <t>PE.2.135</t>
  </si>
  <si>
    <t>3.10.2</t>
  </si>
  <si>
    <t>PE.3.136</t>
  </si>
  <si>
    <t>3.10.6</t>
  </si>
  <si>
    <t>PS.2.127</t>
  </si>
  <si>
    <t>3.9.1</t>
  </si>
  <si>
    <t>PS.2.128</t>
  </si>
  <si>
    <t>3.9.2</t>
  </si>
  <si>
    <t>RE.2.137</t>
  </si>
  <si>
    <t>RE.2.138</t>
  </si>
  <si>
    <t>3.8.9</t>
  </si>
  <si>
    <t>RE.3.139</t>
  </si>
  <si>
    <t>RM.2.141</t>
  </si>
  <si>
    <t>3.11.1</t>
  </si>
  <si>
    <t>RM.2.142</t>
  </si>
  <si>
    <t>3.11.2</t>
  </si>
  <si>
    <t>RM.2.143</t>
  </si>
  <si>
    <t>3.11.3</t>
  </si>
  <si>
    <t>RM.3.144</t>
  </si>
  <si>
    <t>RM.3.146</t>
  </si>
  <si>
    <t>RM.3.147</t>
  </si>
  <si>
    <t>SA.3.169</t>
  </si>
  <si>
    <t>SC.1.175</t>
  </si>
  <si>
    <t>3.13.1</t>
  </si>
  <si>
    <t>SC.1.176</t>
  </si>
  <si>
    <t>3.13.5</t>
  </si>
  <si>
    <t>SC.2.178</t>
  </si>
  <si>
    <t>3.13.12</t>
  </si>
  <si>
    <t>SC.2.179</t>
  </si>
  <si>
    <t>SC.3.177</t>
  </si>
  <si>
    <t>3.13.11</t>
  </si>
  <si>
    <t>Provide brief overview of current status of implementation to employ FIPS-validated cryptography when used to protect the confidentiality of CUI.</t>
  </si>
  <si>
    <t>SC.3.180</t>
  </si>
  <si>
    <t>3.13.2</t>
  </si>
  <si>
    <t>SC.3.181</t>
  </si>
  <si>
    <t>3.13.3</t>
  </si>
  <si>
    <t>SC.3.182</t>
  </si>
  <si>
    <t>3.13.4</t>
  </si>
  <si>
    <t>SC.3.183</t>
  </si>
  <si>
    <t>3.13.6</t>
  </si>
  <si>
    <t>SC.3.184</t>
  </si>
  <si>
    <t>3.13.7</t>
  </si>
  <si>
    <t>SC.3.185</t>
  </si>
  <si>
    <t>3.13.8</t>
  </si>
  <si>
    <t>SC.3.186</t>
  </si>
  <si>
    <t>3.13.9</t>
  </si>
  <si>
    <t>SC.3.187</t>
  </si>
  <si>
    <t>3.13.10</t>
  </si>
  <si>
    <t>SC.3.188</t>
  </si>
  <si>
    <t>3.13.13</t>
  </si>
  <si>
    <t>SC.3.189</t>
  </si>
  <si>
    <t>3.13.14</t>
  </si>
  <si>
    <t>SC.3.190</t>
  </si>
  <si>
    <t>3.13.15</t>
  </si>
  <si>
    <t>SC.3.191</t>
  </si>
  <si>
    <t>3.13.16</t>
  </si>
  <si>
    <t>SC.3.192</t>
  </si>
  <si>
    <t>SC.3.193</t>
  </si>
  <si>
    <t>SI.1.210</t>
  </si>
  <si>
    <t>3.14.1</t>
  </si>
  <si>
    <t>SI.1.211</t>
  </si>
  <si>
    <t>3.14.2</t>
  </si>
  <si>
    <t>SI.1.212</t>
  </si>
  <si>
    <t>3.14.4</t>
  </si>
  <si>
    <t>SI.1.213</t>
  </si>
  <si>
    <t>3.14.5</t>
  </si>
  <si>
    <t>SI.2.214</t>
  </si>
  <si>
    <t>3.14.3</t>
  </si>
  <si>
    <t>SI.2.216</t>
  </si>
  <si>
    <t>3.14.6</t>
  </si>
  <si>
    <t>SI.2.217</t>
  </si>
  <si>
    <t>3.14.7</t>
  </si>
  <si>
    <t>SI.3.218</t>
  </si>
  <si>
    <t>SI.3.219</t>
  </si>
  <si>
    <t>SI.3.220</t>
  </si>
  <si>
    <t>ID</t>
  </si>
  <si>
    <t>Level</t>
  </si>
  <si>
    <t>Description</t>
  </si>
  <si>
    <t>L1 Count</t>
  </si>
  <si>
    <t>L2 Count</t>
  </si>
  <si>
    <t>L3 Count</t>
  </si>
  <si>
    <t>L4 Count</t>
  </si>
  <si>
    <t>L5 Count</t>
  </si>
  <si>
    <t>Total</t>
  </si>
  <si>
    <t>Level 4
Proactive
156 Practices</t>
  </si>
  <si>
    <t>Level 5
Advanced / Progressive
171 Practices</t>
  </si>
  <si>
    <t>023
025
032</t>
  </si>
  <si>
    <t>226</t>
  </si>
  <si>
    <t>059
060</t>
  </si>
  <si>
    <t>053
054</t>
  </si>
  <si>
    <t>163
164
227</t>
  </si>
  <si>
    <t>073</t>
  </si>
  <si>
    <t>100
101</t>
  </si>
  <si>
    <t>148
149
150
151</t>
  </si>
  <si>
    <t>171
173</t>
  </si>
  <si>
    <t>197
199
202
228
229</t>
  </si>
  <si>
    <t>221</t>
  </si>
  <si>
    <t>024</t>
  </si>
  <si>
    <t>055</t>
  </si>
  <si>
    <t>074</t>
  </si>
  <si>
    <t>102
106
108
110</t>
  </si>
  <si>
    <t>140</t>
  </si>
  <si>
    <t>152
155</t>
  </si>
  <si>
    <t>198
208
230</t>
  </si>
  <si>
    <t>222
223</t>
  </si>
  <si>
    <t>Total Practices</t>
  </si>
  <si>
    <t>Practices</t>
  </si>
  <si>
    <t>This version of the CMMC Model has been modified by Cyber Security Training and Consulting LLC  to add Objective Evidence guidance, All Practices sorting, Practices per Maturity Level including identifying the Delta 20.  Contact Info@CyberSecurityTrainingCo.com if you have any questions.</t>
  </si>
  <si>
    <t>Practices Per Domain</t>
  </si>
  <si>
    <t>Cumulative Practices</t>
  </si>
  <si>
    <t>Screenshare/Walkthrough that shows:  Standard users, service/system accounts, and devices.  (AD, LDAP or other technology used)</t>
  </si>
  <si>
    <t>Screenshare/Walkthrough that shows: security roles/types IAW with functions defined.  Must show privilege vs non-privileged account and roles.</t>
  </si>
  <si>
    <t>Screenshare/Walkthrough of Firewall (or specific tool): to Verify and control/limit connections to and use of external systems</t>
  </si>
  <si>
    <t>Screenshare/Walkthrough of Firewall controlls and CUI Marking process, Information screening process for publicly accessable information systems</t>
  </si>
  <si>
    <t>Screenshare/Walkthrough that shows logon and consent banner, AD and/or other policy that enforces this on non-windows, network devices, and other appliances within the enterprise (If Applicable).</t>
  </si>
  <si>
    <t>Screenshare/Walkthrough that shows process for exception/ waiver to policy for removable media</t>
  </si>
  <si>
    <t>Screenshare/Walkthrough that shows RBAC authorization process</t>
  </si>
  <si>
    <t>Screenshare/Walkthrough that shows priviledge/ non-privleged users with least privilge(in AD and/or other policy that enforces this on non-windows devices).</t>
  </si>
  <si>
    <t>Screenshare/Walkthrough that shows configurations of VPN and AD.</t>
  </si>
  <si>
    <t>Screenshare/Walkthrough that shows configurations/ policy settings within AD and other non-windows platforms for session locking with patteren-hidding displays.</t>
  </si>
  <si>
    <t>Screenshare/Walkthrough that shows configuration to allow wireless access (via wireless controller or other management tool)</t>
  </si>
  <si>
    <t>Screenshare/Walkthrough that shows configuration of  ASA and monitroing tool to ensure the monitoring and control of remote access sessions.</t>
  </si>
  <si>
    <t>Screenshare/Walkthrough that shows configuration of ASA or other device(s) for rotutes.</t>
  </si>
  <si>
    <t>Screenshare/Walkthrough that shows configuration of Wireless mananger for authentication and encryption.</t>
  </si>
  <si>
    <t>Screenshare/Walkthrough that shows configuration of ASA for end-to-end encryption verification.</t>
  </si>
  <si>
    <t>Screenshare/Walkthrough that shows  separation of duties from AD; i.e. privilege account vs non-privilege IAW as defined within the SSP</t>
  </si>
  <si>
    <t>Screenshare/Walkthrough that shows non-privileged user restriction through Centrify ( not able to execute privileged functions) and the audit of such functions. Audit function demonstration by UNIX Team.</t>
  </si>
  <si>
    <t xml:space="preserve">Screenshare/Walkthrough that shows VPN configuration for session lockout of 30 minutes of inactivity. </t>
  </si>
  <si>
    <t>Screenshare/Walkthrough that shows Mobile Device Management (MDM) solution and the ability to control connections of mobile devices.</t>
  </si>
  <si>
    <t>Screenshare/Walkthrough that shows remote access privileges and restrictions for commands and security-relevant information.</t>
  </si>
  <si>
    <t xml:space="preserve">Screenshare/Walkthrough that shows MobileIron MDM configuration settings for device encryption. </t>
  </si>
  <si>
    <t>Screenshare/Walkthrough that shows process for granting access (email, ticketing system, etc.)</t>
  </si>
  <si>
    <t>Screenshare/Walkthrough of LMS or other method of tracking managers, systems administrators, and users of organizational systems trained and are made
aware of the security risks associated with their activities .</t>
  </si>
  <si>
    <t>Screenshare/Walkthrough of LMS or other method of tracking training focused on information security-related duties and responsibilities</t>
  </si>
  <si>
    <t>Screenshare/Walkthrough of SIEM tools for creation and retention of system audit logs and records.</t>
  </si>
  <si>
    <t>Screenshare/Walkthrough of NTP Server /user WS configuration for internal clock synchronization with an authoritative source.</t>
  </si>
  <si>
    <t>Screenshare/Walkthrough of SIEM tool for review of audit logs</t>
  </si>
  <si>
    <t>Screenshare/Walkthrough of process, to include past  review findings and updates, to review audit logs.</t>
  </si>
  <si>
    <t>Screenshare/Walkthrough of SIEM tool configuration for audit log failure alert</t>
  </si>
  <si>
    <t>Screenshare/Walkthrough of  process to collect audit information into one or more repositories</t>
  </si>
  <si>
    <t>Screenshare/Walkthrough of SIEM tool access control configuration</t>
  </si>
  <si>
    <t>Screenshare/Walkthrough of SIEM verifying subset of restricted users.</t>
  </si>
  <si>
    <t>Screenshare/Walkthrough of SIEM for verification of Correlation audit record review, analysis, and reporting</t>
  </si>
  <si>
    <t>Screenshare/Walkthrough of SIEM for verification of audit record reduction</t>
  </si>
  <si>
    <t>Screenshare/Walkthrough of security assessment process, to include external validations</t>
  </si>
  <si>
    <t>Screenshare/Walkthrough of POA&amp;M development and implementation process</t>
  </si>
  <si>
    <t>Screenshare/Walkthrough of vulnerability scanning tools and process</t>
  </si>
  <si>
    <t>Screenshare/Walkthrough of CMDB for baseline configurations and inventories of organizational systems</t>
  </si>
  <si>
    <t>Screenshare/Walkthrough of organizational systems to verify the process to ensure principle of least functionality in  configurations</t>
  </si>
  <si>
    <t>Screenshare/Walkthrough of Software Mall process to ensure the Control and monitor user-installed software</t>
  </si>
  <si>
    <t>Screenshare/Walkthrough of process of conducting  SIEM scans for establishment and enforcement security configuration settings</t>
  </si>
  <si>
    <t>Screenshare/Walkthrough of process of change management and Change Review Board (CRB)</t>
  </si>
  <si>
    <t>Screenshare/Walkthrough of process of analyzing the security impact of changes prior to implementation</t>
  </si>
  <si>
    <t>Screenshare/Walkthrough of process utilizing Source Configuration Management tool, bug tracking and enhancement requests, and other products and tools used to define, document, approve, and enforce physical and logical access restrictions associated with changes to organizational systems.</t>
  </si>
  <si>
    <t>Screenshare/Walkthrough of organizational systems to verify the process to Restrict, disable, or prevent the use of nonessential programs, functions, ports, protocols, and services  in  configurations</t>
  </si>
  <si>
    <t>Screenshare/Walkthrough of organizational systems to verify the process to apply deny-by-exception (blacklisting) policy to prevent the use of unauthorized software or deny-all, permit-by-exception (whitelisting) policy to allow the execution of authorized software.</t>
  </si>
  <si>
    <t>Screenshare/Walkthrough that shows; Process for identifying Standard users, service/system accounts, and devices.  (AD, LDAP or other technology used)</t>
  </si>
  <si>
    <t>Screenshare/Walkthrough that shows;  Process for authenticating (or verifying) the identities of users, processes, or devices, as a prerequisite to
allowing access to organizational systems.</t>
  </si>
  <si>
    <t xml:space="preserve">Screenshare/Walkthrough that shows AD; Process to ensure accounts are disabled after 90 days of inactivity. Walk through standard service desk ticket </t>
  </si>
  <si>
    <t>Screenshare/Walkthrough that shows AD; Process to ensure prohibiting password reuse for a specified number of generations.</t>
  </si>
  <si>
    <t>Screenshare/Walkthrough that shows;  Process for allowing temporary password use for system logons with an immediate change to a permanent password.</t>
  </si>
  <si>
    <t>Screenshare/Walkthrough that shows process for storing and transmitting only cryptographically-protected passwords.</t>
  </si>
  <si>
    <t>Screenshare/Walkthrough that shows process for obscuring feedback of authentication information.</t>
  </si>
  <si>
    <t>Screenshare/Walkthrough that shows process for employing replay-resistant authentication mechanisms for network access to privileged and nonprivileged accounts.</t>
  </si>
  <si>
    <t>Screenshare/Walkthrough that shows process /procedure for preventing the reuse of identifiers for a defined period.</t>
  </si>
  <si>
    <t>Screenshare/Walkthrough that shows process /procedure for disabling identifiers after a defined period of inactivity.</t>
  </si>
  <si>
    <t>Screenshare/Walkthrough that shows process /procedure for establishing an operational incident-handling capability for organizational systems that includes preparation, detection, analysis, containment, recovery, and user response activities. Artifact (screen share or DoDSAFE) Information
Security Incident Response Plan (ISIR), Incident Response Plan, Etc.</t>
  </si>
  <si>
    <t>Screenshare/Walkthrough that shows process /procedure to detect and report events                                                                                                                   Artifacts: (screen share or DoDSAFE)any reported events</t>
  </si>
  <si>
    <t xml:space="preserve">Screenshare/Walkthrough that shows process /procedure to analyze and triage events to support event resolution and incident declaration                                                                  </t>
  </si>
  <si>
    <t>Screenshare/Walkthrough that shows process /procedure to develop and implement responses to declared incidents according to pre-defined procedures</t>
  </si>
  <si>
    <t>Screenshare/Walkthrough that shows process /procedure to perform root cause analysis on incidents to determine underlying causes                                                               Artifacts: (screen share or DoDSAFE)any analysis reports</t>
  </si>
  <si>
    <t>Screenshare/Walkthrough that shows process /procedure to track, document, and report incidents to designated officials and/or authorities both internal and external to the organization.</t>
  </si>
  <si>
    <t>Screenshare/Walkthrough that shows process /procedure to test the organizational incident response capability                                                                         Artifacts: (screen share or DoDSAFE)Security Incident Response (SIR) exercise, multiple years</t>
  </si>
  <si>
    <t>Screenshare/Walkthrough that shows the process /procedure to perform maintenance on organizational systems.</t>
  </si>
  <si>
    <t>Screenshare/Walkthrough that shows the process /procedure to provide controls on the tools, techniques, mechanisms, and personnel used to conduct system maintenance.</t>
  </si>
  <si>
    <t>Screenshare/Walkthrough that shows the process /procedure to requires multifactor authentication to establish nonlocal maintenance sessions via external network connections and terminate such connections when nonlocal maintenance is complete.</t>
  </si>
  <si>
    <t>Screenshare/Walkthrough that shows the process /procedure to supervise the maintenance activities of maintenance personnel without required access authorization.</t>
  </si>
  <si>
    <t>Screenshare/Walkthrough that shows the process /procedure to ensure equipment removed for off-site maintenance is sanitized of any CUI.</t>
  </si>
  <si>
    <t>Screenshare/Walkthrough that shows the process /procedure to check media containing diagnostic and test programs for malicious code before the media are used in organizational systems.</t>
  </si>
  <si>
    <t>Screenshare/Walkthrough that shows the process /procedure to Sanitize or destroy system media containing CUI before disposal or release for reuse.</t>
  </si>
  <si>
    <t>Screenshare/Walkthrough that shows the process /procedure to protect system media containing CUI, both paper and digital.</t>
  </si>
  <si>
    <t>Screenshare/Walkthrough that shows the process /procedure  to limit access to CUI on system media to authorized users.</t>
  </si>
  <si>
    <t>Screenshare/Walkthrough that shows the process /procedure to control the use of removable media on system components.</t>
  </si>
  <si>
    <t>Screenshare/Walkthrough that shows the process /procedure to mark media with necessary CUI markings and distribution limitations.</t>
  </si>
  <si>
    <t>Screenshare/Walkthrough that shows the process /procedure to prohibit the use of portable storage devices when such devices have no identifiable owner.</t>
  </si>
  <si>
    <t>Screenshare/Walkthrough that shows the process /procedure to control access to media containing CUI and maintain accountability for media during transport outside of controlled areas.</t>
  </si>
  <si>
    <t>Screenshare/Walkthrough that shows the process /procedure to implement cryptographic mechanisms to protect the confidentiality of CUI stored on digital media during transport unless otherwise protected by alternative physical safeguards.</t>
  </si>
  <si>
    <t>Screenshare/Walkthrough that shows the process /procedure to limit physical access to organizational information systems, equipment, and the respective operating environments to authorized individuals.</t>
  </si>
  <si>
    <t>Screenshare/Walkthrough that shows the process /procedure to escort visitors and monitor visitor activity.</t>
  </si>
  <si>
    <t>Screenshare/Walkthrough that shows the process /procedure to maintain audit logs of physical access.</t>
  </si>
  <si>
    <t>Screenshare/Walkthrough that shows the process /procedure to control and manage physical access devices.</t>
  </si>
  <si>
    <t>Screenshare/Walkthrough that shows the process /procedure to protect and monitor the physical facility and support infrastructure for organizational systems.</t>
  </si>
  <si>
    <t>Screenshare/Walkthrough that shows the process /procedure to enforce safeguarding measures for CUI at alternate work sites.</t>
  </si>
  <si>
    <t>Screenshare/Walkthrough that shows the process /procedure to screen individuals prior to authorizing access to organizational systems containing CUI.</t>
  </si>
  <si>
    <t>Screenshare/Walkthrough that shows the process /procedure to ensure that organizational systems containing CUI are protected during and after personnel actions such as terminations and transfers.</t>
  </si>
  <si>
    <t>Screenshare/Walkthrough that shows the process /procedure to regularly perform and test data back-ups</t>
  </si>
  <si>
    <t>Screenshare/Walkthrough that shows the process /procedure to protect the confidentiality of backup CUI at storage locations.</t>
  </si>
  <si>
    <t>Screenshare/Walkthrough that shows the process /procedure to regularly perform complete, comprehensive, and resilient data back-ups, as organizationally-defined</t>
  </si>
  <si>
    <t>Screenshare/Walkthrough that shows the process /procedure to periodically assess the risk to organizational operations (including mission, functions, image, or reputation), organizational assets, and individuals, resulting from the operation of organizational systems and the associated processing, storage, or transmission of CUI.</t>
  </si>
  <si>
    <t>Screenshare/Walkthrough that shows the process /procedure to scan for vulnerabilities in organizational systems and applications periodically and when new vulnerabilities affecting those systems and applications are identified.</t>
  </si>
  <si>
    <t>Screenshare/Walkthrough that shows the process /procedure to remediate vulnerabilities in accordance with risk assessments.</t>
  </si>
  <si>
    <t>Screenshare/Walkthrough that shows the process /procedure to periodically perform risk assessments to identify and prioritize risks according to the defined risk categories, risk sources and risk measurement criteria</t>
  </si>
  <si>
    <t>Screenshare/Walkthrough that shows the process /procedure to develop and implement risk mitigation plans</t>
  </si>
  <si>
    <t>Screenshare/Walkthrough that shows the process /procedure to manage non-vendor-supported products (e.g. end of life) separately and restrict as necessary to reduce risk</t>
  </si>
  <si>
    <t>Screenshare/Walkthrough that shows the process /procedure to receive and respond to cyber threat intelligence from information sharing forums and sources and communicate to stakeholders.</t>
  </si>
  <si>
    <t>Screenshare/Walkthrough that shows the process /procedure to monitor, control, and protect organizational communications (i.e., information transmitted or received by organizational information systems) at the external boundaries and key internal boundaries of the information systems.</t>
  </si>
  <si>
    <t>Screenshare/Walkthrough that shows the process /procedure to implement subnetworks for publicly accessible system components that are physically or logically separated from internal networks.</t>
  </si>
  <si>
    <t>Screenshare/Walkthrough that shows the process /procedure to prohibit remote activation of collaborative computing devices and provide indication of devices in use to users present at the device</t>
  </si>
  <si>
    <t>Screenshare/Walkthrough that shows the process /procedure to use encrypted sessions for management of network devices</t>
  </si>
  <si>
    <t>Screenshare/Walkthrough that shows the process /procedure to employ architectural designs, software development techniques, and systems engineering principles that promote effective information security within organizational systems.</t>
  </si>
  <si>
    <t>Screenshare/Walkthrough that shows the process /procedure to separate user functionality from system management functionality.</t>
  </si>
  <si>
    <t>Screenshare/Walkthrough that shows the process /procedure to prevent unauthorized and unintended information transfer via shared system resources.</t>
  </si>
  <si>
    <t>Screenshare/Walkthrough that shows the process /procedure to deny network communications traffic by default and allow network communications traffic by exception (i.e., deny all, permit by exception).</t>
  </si>
  <si>
    <t>Screenshare/Walkthrough that shows the process /procedure to prevent remote devices from simultaneously establishing non-remote connections with organizational systems and communicating via some other connection to resources in external networks (i.e. split tunneling).</t>
  </si>
  <si>
    <t>Screenshare/Walkthrough that shows the process /procedure to implement cryptographic mechanisms to prevent unauthorized disclosure of CUI during transmission unless otherwise protected by alternative physical safeguards.</t>
  </si>
  <si>
    <t>Screenshare/Walkthrough that shows the process /procedure to terminate network connections associated with communications sessions at the end of the sessions or after a defined period of inactivity.</t>
  </si>
  <si>
    <t>Screenshare/Walkthrough that shows the process /procedure to establish and manage cryptographic keys for cryptography employed in organizational systems</t>
  </si>
  <si>
    <t>Screenshare/Walkthrough that shows the process /procedure to control and monitor the use of mobile code.</t>
  </si>
  <si>
    <t>Screenshare/Walkthrough that shows the process /procedure to control and monitor the use of Voice over Internet Protocol (VoIP) technologies.</t>
  </si>
  <si>
    <t>Screenshare/Walkthrough that shows the process /procedure to protect the authenticity of communications sessions</t>
  </si>
  <si>
    <t>Screenshare/Walkthrough that shows the process /procedure to protect the confidentiality of CUI at rest.</t>
  </si>
  <si>
    <t>Screenshare/Walkthrough that shows the process /procedure to implement Domain Name System (DNS) filtering services</t>
  </si>
  <si>
    <t>Screenshare/Walkthrough that shows the process /procedure to implement a policy restricting the publication of CUI on externally owned, publicly accessible websites (e.g. forums, LinkedIn, Facebook, Twitter).</t>
  </si>
  <si>
    <t>Screenshare/Walkthrough that shows the process /procedure to identify, report, and correct information and information system flaws in a timely manner.</t>
  </si>
  <si>
    <t>Screenshare/Walkthrough that shows the process /procedure to provide protection from malicious code at appropriate locations within organizational information systems.</t>
  </si>
  <si>
    <t>Screenshare/Walkthrough that shows the process /procedure to update malicious code protection mechanisms when new releases are available.</t>
  </si>
  <si>
    <t>Screenshare/Walkthrough that shows the process /procedure to perform periodic scans of the information system and real-time scans of files from external sources as files are downloaded, opened, or executed.</t>
  </si>
  <si>
    <t>Screenshare/Walkthrough that shows the process /procedure to monitor system security alerts and advisories and take actions in response</t>
  </si>
  <si>
    <t>Screenshare/Walkthrough that shows the process /procedure to monitor organizational systems, including inbound and outbound communications traffic, to detect attacks and indicators of potential attacks.</t>
  </si>
  <si>
    <t>Screenshare/Walkthrough that shows the process /procedure to identify unauthorized use of the organizational system.</t>
  </si>
  <si>
    <t>Screenshare/Walkthrough that shows the process /procedure to show how the organization employs spam protection mechanisms at information system entry/exit points to detect unsolicited messages, to include assositated actions.</t>
  </si>
  <si>
    <t>Screenshare/Walkthrough that shows the process /procedure to show how the organization implements email forgery protections.</t>
  </si>
  <si>
    <t>Screenshare/Walkthrough that shows the process /procedure to show how the organization defines and employs sandbox capabilities within organiztion information systems, system components, or locations to detect or block potentially malicious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</si>
</sst>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Cambria"/>
      <family val="1"/>
    </font>
    <font>
      <sz val="22"/>
      <name val="Cambria"/>
      <family val="1"/>
    </font>
    <font>
      <b/>
      <sz val="20"/>
      <name val="Cambria"/>
      <family val="1"/>
    </font>
    <font>
      <b/>
      <sz val="12"/>
      <name val="Cambria"/>
      <family val="1"/>
    </font>
    <font>
      <sz val="11"/>
      <color theme="1"/>
      <name val="Cambria"/>
      <family val="1"/>
    </font>
    <font>
      <sz val="24"/>
      <color rgb="FF5B57A6"/>
      <name val="Calibri"/>
      <family val="2"/>
    </font>
    <font>
      <b/>
      <sz val="12"/>
      <name val="Calibri"/>
      <family val="2"/>
    </font>
    <font>
      <b/>
      <sz val="16"/>
      <name val="Calibri"/>
      <family val="2"/>
    </font>
    <font>
      <sz val="12"/>
      <name val="Calibri"/>
      <family val="2"/>
    </font>
    <font>
      <strike/>
      <sz val="12"/>
      <name val="Calibri"/>
      <family val="2"/>
    </font>
    <font>
      <b/>
      <sz val="14"/>
      <name val="Calibri"/>
      <family val="2"/>
    </font>
    <font>
      <b/>
      <sz val="16"/>
      <color theme="0"/>
      <name val="Calibri"/>
      <family val="2"/>
    </font>
    <font>
      <sz val="16"/>
      <name val="Calibri"/>
      <family val="2"/>
    </font>
    <font>
      <strike/>
      <sz val="12"/>
      <color rgb="FFFF0000"/>
      <name val="Calibri"/>
      <family val="2"/>
    </font>
    <font>
      <sz val="12"/>
      <color rgb="FFFF33CC"/>
      <name val="Calibri"/>
      <family val="2"/>
    </font>
    <font>
      <sz val="12"/>
      <color rgb="FF00B050"/>
      <name val="Calibri"/>
      <family val="2"/>
    </font>
    <font>
      <i/>
      <sz val="22"/>
      <name val="Cambria"/>
      <family val="1"/>
    </font>
    <font>
      <sz val="12"/>
      <color rgb="FFFF0000"/>
      <name val="Calibri"/>
      <family val="2"/>
      <scheme val="minor"/>
    </font>
    <font>
      <b/>
      <sz val="11"/>
      <color theme="1"/>
      <name val="Calibri"/>
      <family val="2"/>
      <scheme val="minor"/>
    </font>
    <font>
      <sz val="10"/>
      <color rgb="FF000000"/>
      <name val="Calibri"/>
      <family val="2"/>
    </font>
    <font>
      <b/>
      <sz val="10"/>
      <name val="Arial"/>
      <family val="2"/>
    </font>
    <font>
      <u/>
      <sz val="11"/>
      <color theme="1"/>
      <name val="Calibri"/>
      <family val="2"/>
      <scheme val="minor"/>
    </font>
    <font>
      <b/>
      <sz val="10"/>
      <color rgb="FFFFFFFF"/>
      <name val="Calibri"/>
      <family val="2"/>
    </font>
    <font>
      <sz val="10"/>
      <name val="Calibri"/>
      <family val="2"/>
    </font>
    <font>
      <sz val="12"/>
      <name val="Calibri"/>
      <family val="2"/>
      <scheme val="minor"/>
    </font>
    <font>
      <sz val="22"/>
      <color rgb="FFFF0000"/>
      <name val="Cambria"/>
      <family val="1"/>
    </font>
    <font>
      <sz val="10"/>
      <color theme="1"/>
      <name val="Calibri"/>
      <family val="2"/>
    </font>
    <font>
      <sz val="10"/>
      <color rgb="FFFF0000"/>
      <name val="Calibri"/>
      <family val="2"/>
    </font>
  </fonts>
  <fills count="11">
    <fill>
      <patternFill patternType="none"/>
    </fill>
    <fill>
      <patternFill patternType="gray125"/>
    </fill>
    <fill>
      <patternFill patternType="solid">
        <fgColor rgb="FFDDDDDD"/>
        <bgColor indexed="64"/>
      </patternFill>
    </fill>
    <fill>
      <patternFill patternType="solid">
        <fgColor rgb="FF73D1F5"/>
        <bgColor indexed="64"/>
      </patternFill>
    </fill>
    <fill>
      <patternFill patternType="solid">
        <fgColor rgb="FF3A5081"/>
        <bgColor indexed="64"/>
      </patternFill>
    </fill>
    <fill>
      <patternFill patternType="solid">
        <fgColor theme="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38761D"/>
        <bgColor rgb="FF38761D"/>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theme="0"/>
      </top>
      <bottom/>
      <diagonal/>
    </border>
    <border>
      <left style="medium">
        <color theme="0"/>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5" fillId="0" borderId="0"/>
    <xf numFmtId="0" fontId="4" fillId="0" borderId="0"/>
    <xf numFmtId="0" fontId="3" fillId="0" borderId="0"/>
    <xf numFmtId="0" fontId="3" fillId="0" borderId="0"/>
    <xf numFmtId="0" fontId="2" fillId="0" borderId="0"/>
    <xf numFmtId="0" fontId="1" fillId="0" borderId="0"/>
    <xf numFmtId="0" fontId="1" fillId="0" borderId="0"/>
    <xf numFmtId="0" fontId="1" fillId="0" borderId="0"/>
  </cellStyleXfs>
  <cellXfs count="119">
    <xf numFmtId="0" fontId="0" fillId="0" borderId="0" xfId="0"/>
    <xf numFmtId="0" fontId="6" fillId="0" borderId="0" xfId="0" applyFont="1"/>
    <xf numFmtId="0" fontId="7" fillId="0" borderId="0" xfId="0" applyFont="1" applyAlignment="1">
      <alignment horizontal="center" wrapText="1"/>
    </xf>
    <xf numFmtId="15" fontId="7" fillId="0" borderId="0" xfId="0" quotePrefix="1" applyNumberFormat="1" applyFont="1" applyAlignment="1">
      <alignment horizontal="center" wrapText="1"/>
    </xf>
    <xf numFmtId="0" fontId="6" fillId="0" borderId="0" xfId="0" applyFont="1" applyAlignment="1">
      <alignment wrapText="1"/>
    </xf>
    <xf numFmtId="0" fontId="9" fillId="0" borderId="2" xfId="0" applyFont="1" applyBorder="1" applyProtection="1">
      <protection locked="0"/>
    </xf>
    <xf numFmtId="0" fontId="10" fillId="0" borderId="1" xfId="0" applyFont="1" applyBorder="1" applyAlignment="1">
      <alignment horizontal="left" vertical="top" wrapText="1"/>
    </xf>
    <xf numFmtId="0" fontId="6" fillId="0" borderId="3" xfId="0" applyFont="1" applyBorder="1" applyAlignment="1">
      <alignment wrapText="1"/>
    </xf>
    <xf numFmtId="0" fontId="8" fillId="3" borderId="1" xfId="0" applyFont="1" applyFill="1" applyBorder="1" applyAlignment="1" applyProtection="1">
      <alignment horizontal="left" vertical="center"/>
      <protection locked="0"/>
    </xf>
    <xf numFmtId="0" fontId="12" fillId="0" borderId="2" xfId="0" applyFont="1" applyBorder="1" applyProtection="1">
      <protection locked="0"/>
    </xf>
    <xf numFmtId="0" fontId="14" fillId="0" borderId="0" xfId="0" applyFont="1" applyAlignment="1">
      <alignment vertical="center"/>
    </xf>
    <xf numFmtId="0" fontId="13" fillId="3" borderId="1" xfId="0" applyFont="1" applyFill="1" applyBorder="1" applyAlignment="1">
      <alignment horizontal="center" vertical="center"/>
    </xf>
    <xf numFmtId="0" fontId="14" fillId="0" borderId="0" xfId="0" applyFont="1"/>
    <xf numFmtId="0" fontId="14" fillId="0" borderId="1" xfId="0" applyFont="1" applyBorder="1" applyAlignment="1">
      <alignment vertical="top" wrapText="1"/>
    </xf>
    <xf numFmtId="0" fontId="14" fillId="0" borderId="1" xfId="0" applyFont="1" applyBorder="1" applyAlignment="1">
      <alignment horizontal="left" vertical="top" wrapText="1"/>
    </xf>
    <xf numFmtId="0" fontId="14" fillId="0" borderId="0" xfId="0" applyFont="1" applyAlignment="1">
      <alignment horizontal="left" vertical="center" wrapText="1"/>
    </xf>
    <xf numFmtId="0" fontId="15" fillId="0" borderId="1"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3" xfId="0" applyFont="1" applyBorder="1" applyAlignment="1">
      <alignment wrapText="1"/>
    </xf>
    <xf numFmtId="0" fontId="17" fillId="4" borderId="1" xfId="0" applyFont="1" applyFill="1" applyBorder="1" applyAlignment="1">
      <alignment horizontal="center" vertical="center"/>
    </xf>
    <xf numFmtId="0" fontId="18" fillId="0" borderId="0" xfId="0" applyFont="1" applyAlignment="1">
      <alignment vertical="center"/>
    </xf>
    <xf numFmtId="0" fontId="15" fillId="0" borderId="1" xfId="0" applyFont="1" applyBorder="1" applyAlignment="1">
      <alignment vertical="top" wrapText="1"/>
    </xf>
    <xf numFmtId="0" fontId="14" fillId="2" borderId="1" xfId="0" applyFont="1" applyFill="1" applyBorder="1" applyAlignment="1">
      <alignment vertical="top" wrapText="1"/>
    </xf>
    <xf numFmtId="0" fontId="15" fillId="2" borderId="1" xfId="0" applyFont="1" applyFill="1" applyBorder="1" applyAlignment="1">
      <alignment vertical="top" wrapText="1"/>
    </xf>
    <xf numFmtId="0" fontId="19" fillId="0" borderId="0" xfId="0" applyFont="1" applyAlignment="1">
      <alignment vertical="top" wrapText="1"/>
    </xf>
    <xf numFmtId="0" fontId="14"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20" fillId="0" borderId="0" xfId="0" applyFont="1" applyAlignment="1">
      <alignment vertical="top" wrapText="1"/>
    </xf>
    <xf numFmtId="0" fontId="12" fillId="0" borderId="2" xfId="0" applyFont="1" applyBorder="1" applyAlignment="1" applyProtection="1">
      <alignment horizontal="left" vertical="top"/>
      <protection locked="0"/>
    </xf>
    <xf numFmtId="0" fontId="18" fillId="0" borderId="0" xfId="0" applyFont="1" applyAlignment="1">
      <alignment horizontal="left" vertical="top"/>
    </xf>
    <xf numFmtId="0" fontId="14" fillId="0" borderId="0" xfId="0" applyFont="1" applyAlignment="1">
      <alignment horizontal="left" vertical="top"/>
    </xf>
    <xf numFmtId="0" fontId="14" fillId="0" borderId="3" xfId="0" applyFont="1" applyBorder="1" applyAlignment="1">
      <alignment horizontal="left" vertical="top" wrapText="1"/>
    </xf>
    <xf numFmtId="0" fontId="20" fillId="0" borderId="0" xfId="0" applyFont="1" applyAlignment="1">
      <alignment horizontal="left" vertical="top" wrapText="1"/>
    </xf>
    <xf numFmtId="0" fontId="20" fillId="0" borderId="0" xfId="0" applyFont="1"/>
    <xf numFmtId="0" fontId="14" fillId="0" borderId="1" xfId="0" applyFont="1" applyBorder="1"/>
    <xf numFmtId="0" fontId="21" fillId="0" borderId="0" xfId="0" applyFont="1" applyAlignment="1">
      <alignment vertical="top" wrapText="1"/>
    </xf>
    <xf numFmtId="0" fontId="15" fillId="0" borderId="0" xfId="0" applyFont="1" applyAlignment="1">
      <alignment vertical="top" wrapText="1"/>
    </xf>
    <xf numFmtId="0" fontId="19" fillId="0" borderId="0" xfId="0" applyFont="1" applyAlignment="1">
      <alignment horizontal="left" vertical="top" wrapText="1"/>
    </xf>
    <xf numFmtId="0" fontId="21" fillId="0" borderId="0" xfId="0" applyFont="1" applyAlignment="1">
      <alignment horizontal="left" vertical="top" wrapText="1"/>
    </xf>
    <xf numFmtId="0" fontId="14" fillId="0" borderId="4" xfId="0" applyFont="1" applyBorder="1" applyAlignment="1">
      <alignment vertical="top" wrapText="1"/>
    </xf>
    <xf numFmtId="0" fontId="14" fillId="2" borderId="1" xfId="0" applyFont="1" applyFill="1" applyBorder="1" applyAlignment="1">
      <alignment vertical="top" wrapText="1"/>
    </xf>
    <xf numFmtId="0" fontId="14" fillId="0" borderId="0" xfId="0" applyFont="1" applyBorder="1" applyAlignment="1">
      <alignment horizontal="center" wrapText="1"/>
    </xf>
    <xf numFmtId="0" fontId="14" fillId="0" borderId="0" xfId="0" applyFont="1" applyBorder="1" applyAlignment="1">
      <alignment wrapText="1"/>
    </xf>
    <xf numFmtId="0" fontId="14" fillId="0" borderId="0" xfId="0" applyFont="1" applyBorder="1"/>
    <xf numFmtId="0" fontId="14" fillId="0" borderId="1" xfId="0" applyFont="1" applyBorder="1" applyAlignment="1">
      <alignment horizontal="left" vertical="top" wrapText="1"/>
    </xf>
    <xf numFmtId="15" fontId="22" fillId="0" borderId="0" xfId="0" quotePrefix="1" applyNumberFormat="1" applyFont="1" applyAlignment="1">
      <alignment horizontal="center" wrapText="1"/>
    </xf>
    <xf numFmtId="0" fontId="0" fillId="0" borderId="0" xfId="0" applyAlignment="1">
      <alignment wrapText="1"/>
    </xf>
    <xf numFmtId="49" fontId="0" fillId="0" borderId="0" xfId="0" applyNumberFormat="1" applyAlignment="1">
      <alignment wrapText="1"/>
    </xf>
    <xf numFmtId="49" fontId="0" fillId="0" borderId="0" xfId="0" applyNumberFormat="1"/>
    <xf numFmtId="49" fontId="0" fillId="0" borderId="0" xfId="0" applyNumberFormat="1" applyBorder="1" applyAlignment="1">
      <alignment wrapText="1"/>
    </xf>
    <xf numFmtId="49" fontId="0" fillId="0" borderId="0" xfId="0" applyNumberFormat="1" applyBorder="1"/>
    <xf numFmtId="0" fontId="0" fillId="0" borderId="0" xfId="0" applyBorder="1" applyAlignment="1">
      <alignment horizontal="center" wrapText="1"/>
    </xf>
    <xf numFmtId="49" fontId="0" fillId="0" borderId="0" xfId="0" applyNumberFormat="1" applyFill="1" applyBorder="1"/>
    <xf numFmtId="49" fontId="0" fillId="0" borderId="0" xfId="0" applyNumberFormat="1" applyFill="1" applyBorder="1" applyAlignment="1">
      <alignment wrapText="1"/>
    </xf>
    <xf numFmtId="0" fontId="0" fillId="6" borderId="9" xfId="0" applyFill="1" applyBorder="1" applyAlignment="1">
      <alignment wrapText="1"/>
    </xf>
    <xf numFmtId="0" fontId="0" fillId="0" borderId="0" xfId="0" applyBorder="1" applyAlignment="1">
      <alignment wrapText="1"/>
    </xf>
    <xf numFmtId="0" fontId="0" fillId="0" borderId="13" xfId="0" applyBorder="1"/>
    <xf numFmtId="0" fontId="24" fillId="8" borderId="1" xfId="0" applyFont="1" applyFill="1" applyBorder="1" applyAlignment="1">
      <alignment horizontal="center" vertical="center"/>
    </xf>
    <xf numFmtId="0" fontId="24" fillId="8" borderId="1" xfId="0" applyFont="1" applyFill="1" applyBorder="1" applyAlignment="1">
      <alignment horizontal="center" vertical="center" wrapText="1" shrinkToFit="1"/>
    </xf>
    <xf numFmtId="0" fontId="25" fillId="0" borderId="1" xfId="1" applyFont="1" applyBorder="1" applyAlignment="1">
      <alignment horizontal="center" vertical="center" wrapText="1"/>
    </xf>
    <xf numFmtId="0" fontId="24" fillId="0" borderId="1" xfId="0" applyFont="1" applyBorder="1" applyAlignment="1">
      <alignment wrapText="1"/>
    </xf>
    <xf numFmtId="0" fontId="26" fillId="0" borderId="0" xfId="1" applyFont="1" applyAlignment="1">
      <alignment horizontal="center" vertical="center" wrapText="1"/>
    </xf>
    <xf numFmtId="0" fontId="24" fillId="0" borderId="0" xfId="0" applyFont="1" applyAlignment="1">
      <alignment wrapText="1"/>
    </xf>
    <xf numFmtId="0" fontId="25" fillId="7" borderId="1" xfId="1" applyFont="1" applyFill="1" applyBorder="1" applyAlignment="1">
      <alignment horizontal="center" vertical="center" wrapText="1"/>
    </xf>
    <xf numFmtId="0" fontId="25" fillId="0" borderId="1" xfId="1" applyFont="1" applyBorder="1" applyAlignment="1">
      <alignment horizontal="left" vertical="center" wrapText="1"/>
    </xf>
    <xf numFmtId="0" fontId="28" fillId="9" borderId="0" xfId="0" applyFont="1" applyFill="1" applyAlignment="1">
      <alignment horizontal="center"/>
    </xf>
    <xf numFmtId="0" fontId="28" fillId="9" borderId="0" xfId="0" applyFont="1" applyFill="1" applyAlignment="1">
      <alignment horizontal="center" wrapText="1"/>
    </xf>
    <xf numFmtId="0" fontId="29" fillId="0" borderId="0" xfId="0" applyFont="1" applyAlignment="1">
      <alignment horizontal="center"/>
    </xf>
    <xf numFmtId="0" fontId="29" fillId="0" borderId="0" xfId="0" applyFont="1" applyAlignment="1">
      <alignment horizontal="left" wrapText="1"/>
    </xf>
    <xf numFmtId="49" fontId="29" fillId="0" borderId="0" xfId="0" applyNumberFormat="1" applyFont="1" applyAlignment="1">
      <alignment horizontal="center"/>
    </xf>
    <xf numFmtId="0" fontId="29" fillId="5" borderId="0" xfId="0" applyFont="1" applyFill="1" applyAlignment="1">
      <alignment horizontal="center"/>
    </xf>
    <xf numFmtId="0" fontId="29" fillId="5" borderId="0" xfId="0" applyFont="1" applyFill="1" applyAlignment="1">
      <alignment horizontal="left" wrapText="1"/>
    </xf>
    <xf numFmtId="49" fontId="29" fillId="5" borderId="0" xfId="0" applyNumberFormat="1" applyFont="1" applyFill="1" applyAlignment="1">
      <alignment horizontal="center"/>
    </xf>
    <xf numFmtId="0" fontId="0" fillId="0" borderId="0" xfId="0" applyAlignment="1">
      <alignment horizontal="right"/>
    </xf>
    <xf numFmtId="0" fontId="0" fillId="0" borderId="0" xfId="0" applyBorder="1"/>
    <xf numFmtId="0" fontId="0" fillId="0" borderId="14" xfId="0" applyBorder="1"/>
    <xf numFmtId="0" fontId="31" fillId="0" borderId="3" xfId="0" applyFont="1" applyBorder="1" applyAlignment="1">
      <alignment wrapText="1"/>
    </xf>
    <xf numFmtId="0" fontId="0" fillId="0" borderId="14" xfId="0" applyNumberFormat="1" applyBorder="1" applyAlignment="1">
      <alignment wrapText="1"/>
    </xf>
    <xf numFmtId="0" fontId="0" fillId="6" borderId="14" xfId="0" applyFill="1" applyBorder="1" applyAlignment="1">
      <alignment wrapText="1"/>
    </xf>
    <xf numFmtId="49" fontId="0" fillId="0" borderId="14" xfId="0" applyNumberFormat="1" applyBorder="1" applyAlignment="1">
      <alignment wrapText="1"/>
    </xf>
    <xf numFmtId="0" fontId="23" fillId="6" borderId="14" xfId="0" applyFont="1" applyFill="1" applyBorder="1" applyAlignment="1">
      <alignment wrapText="1"/>
    </xf>
    <xf numFmtId="49" fontId="23" fillId="0" borderId="14" xfId="0" applyNumberFormat="1" applyFont="1" applyBorder="1"/>
    <xf numFmtId="49" fontId="0" fillId="0" borderId="14" xfId="0" applyNumberFormat="1" applyBorder="1"/>
    <xf numFmtId="0" fontId="0" fillId="7" borderId="14" xfId="0" applyFill="1" applyBorder="1" applyAlignment="1">
      <alignment wrapText="1"/>
    </xf>
    <xf numFmtId="49" fontId="0" fillId="5" borderId="14" xfId="0" applyNumberFormat="1" applyFill="1" applyBorder="1"/>
    <xf numFmtId="0" fontId="0" fillId="10" borderId="11" xfId="0" applyNumberFormat="1" applyFill="1" applyBorder="1" applyAlignment="1">
      <alignment wrapText="1"/>
    </xf>
    <xf numFmtId="0" fontId="0" fillId="10" borderId="14" xfId="0" applyNumberFormat="1" applyFill="1" applyBorder="1" applyAlignment="1">
      <alignment wrapText="1"/>
    </xf>
    <xf numFmtId="0" fontId="0" fillId="0" borderId="14" xfId="0" applyBorder="1" applyAlignment="1">
      <alignment horizontal="center" wrapText="1"/>
    </xf>
    <xf numFmtId="0" fontId="0" fillId="10" borderId="14" xfId="0" applyFill="1" applyBorder="1" applyAlignment="1">
      <alignment horizontal="center" wrapText="1"/>
    </xf>
    <xf numFmtId="49" fontId="23" fillId="0" borderId="14" xfId="0" applyNumberFormat="1" applyFont="1" applyBorder="1" applyAlignment="1">
      <alignment wrapText="1"/>
    </xf>
    <xf numFmtId="49" fontId="0" fillId="5" borderId="14" xfId="0" applyNumberFormat="1" applyFill="1" applyBorder="1" applyAlignment="1">
      <alignment wrapText="1"/>
    </xf>
    <xf numFmtId="0" fontId="23" fillId="7" borderId="14" xfId="0" applyFont="1" applyFill="1" applyBorder="1" applyAlignment="1">
      <alignment wrapText="1"/>
    </xf>
    <xf numFmtId="49" fontId="23" fillId="5" borderId="14" xfId="0" applyNumberFormat="1" applyFont="1" applyFill="1" applyBorder="1"/>
    <xf numFmtId="49" fontId="30" fillId="0" borderId="14" xfId="0" applyNumberFormat="1" applyFont="1" applyBorder="1" applyAlignment="1">
      <alignment wrapText="1"/>
    </xf>
    <xf numFmtId="49" fontId="30" fillId="5" borderId="14" xfId="0" applyNumberFormat="1" applyFont="1" applyFill="1" applyBorder="1"/>
    <xf numFmtId="49" fontId="30" fillId="5" borderId="14" xfId="0" applyNumberFormat="1" applyFont="1" applyFill="1" applyBorder="1" applyAlignment="1">
      <alignment wrapText="1"/>
    </xf>
    <xf numFmtId="49" fontId="30" fillId="0" borderId="14" xfId="0" applyNumberFormat="1" applyFont="1" applyBorder="1"/>
    <xf numFmtId="49" fontId="0" fillId="0" borderId="14" xfId="0" applyNumberFormat="1" applyFont="1" applyBorder="1" applyAlignment="1">
      <alignment wrapText="1"/>
    </xf>
    <xf numFmtId="49" fontId="0" fillId="0" borderId="14" xfId="0" applyNumberFormat="1" applyFont="1" applyBorder="1"/>
    <xf numFmtId="49" fontId="33" fillId="0" borderId="0" xfId="0" applyNumberFormat="1" applyFont="1" applyAlignment="1">
      <alignment horizontal="center"/>
    </xf>
    <xf numFmtId="0" fontId="33" fillId="0" borderId="0" xfId="0" applyFont="1" applyAlignment="1">
      <alignment horizontal="center"/>
    </xf>
    <xf numFmtId="49" fontId="32" fillId="0" borderId="0" xfId="0" applyNumberFormat="1" applyFont="1"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27" fillId="0" borderId="11" xfId="0" applyFont="1" applyBorder="1" applyAlignment="1">
      <alignment horizontal="center"/>
    </xf>
    <xf numFmtId="0" fontId="27" fillId="0" borderId="12" xfId="0" applyFont="1" applyBorder="1" applyAlignment="1">
      <alignment horizontal="center"/>
    </xf>
    <xf numFmtId="0" fontId="27" fillId="0" borderId="13" xfId="0" applyFont="1" applyBorder="1" applyAlignment="1">
      <alignment horizontal="center"/>
    </xf>
    <xf numFmtId="0" fontId="13" fillId="3" borderId="1" xfId="0" applyFont="1" applyFill="1" applyBorder="1" applyAlignment="1">
      <alignment horizontal="center" vertical="center"/>
    </xf>
    <xf numFmtId="0" fontId="14" fillId="0" borderId="1" xfId="0" applyFont="1" applyBorder="1" applyAlignment="1">
      <alignment horizontal="left" vertical="top" wrapText="1"/>
    </xf>
    <xf numFmtId="0" fontId="11" fillId="0" borderId="1" xfId="0" applyFont="1" applyBorder="1" applyAlignment="1">
      <alignment horizontal="left" wrapText="1"/>
    </xf>
    <xf numFmtId="0" fontId="16" fillId="3"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4" fillId="2" borderId="1" xfId="0" applyFont="1" applyFill="1" applyBorder="1" applyAlignment="1">
      <alignment vertical="top" wrapText="1"/>
    </xf>
    <xf numFmtId="0" fontId="14" fillId="2" borderId="1" xfId="0" applyFont="1" applyFill="1" applyBorder="1" applyAlignment="1">
      <alignment horizontal="left" vertical="top" wrapText="1"/>
    </xf>
    <xf numFmtId="0" fontId="14" fillId="0" borderId="1" xfId="0" applyFont="1" applyBorder="1" applyAlignment="1">
      <alignment vertical="top" wrapText="1"/>
    </xf>
    <xf numFmtId="0" fontId="11" fillId="0" borderId="6" xfId="0" applyFont="1" applyBorder="1" applyAlignment="1">
      <alignment horizontal="left" wrapText="1"/>
    </xf>
    <xf numFmtId="0" fontId="11" fillId="0" borderId="7" xfId="0" applyFont="1" applyBorder="1" applyAlignment="1">
      <alignment horizontal="left" wrapText="1"/>
    </xf>
    <xf numFmtId="0" fontId="11" fillId="0" borderId="5" xfId="0" applyFont="1" applyBorder="1" applyAlignment="1">
      <alignment horizontal="left" wrapText="1"/>
    </xf>
  </cellXfs>
  <cellStyles count="9">
    <cellStyle name="Normal" xfId="0" builtinId="0"/>
    <cellStyle name="Normal 2" xfId="1" xr:uid="{00000000-0005-0000-0000-000001000000}"/>
    <cellStyle name="Normal 2 2" xfId="4" xr:uid="{00000000-0005-0000-0000-000002000000}"/>
    <cellStyle name="Normal 3 2" xfId="3" xr:uid="{00000000-0005-0000-0000-000003000000}"/>
    <cellStyle name="Normal 3 2 2" xfId="2" xr:uid="{00000000-0005-0000-0000-000004000000}"/>
    <cellStyle name="Normal 3 2 2 2" xfId="5" xr:uid="{00000000-0005-0000-0000-000005000000}"/>
    <cellStyle name="Normal 3 2 2 2 2" xfId="8" xr:uid="{00000000-0005-0000-0000-000006000000}"/>
    <cellStyle name="Normal 3 2 2 3" xfId="7" xr:uid="{00000000-0005-0000-0000-000007000000}"/>
    <cellStyle name="Normal 3 2 3" xfId="6" xr:uid="{00000000-0005-0000-0000-000008000000}"/>
  </cellStyles>
  <dxfs count="24">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rgb="FFB7B7B7"/>
      </font>
      <fill>
        <patternFill patternType="none"/>
      </fill>
    </dxf>
    <dxf>
      <font>
        <b/>
      </font>
      <fill>
        <patternFill patternType="solid">
          <fgColor rgb="FFEAD1DC"/>
          <bgColor rgb="FFEAD1DC"/>
        </patternFill>
      </fill>
    </dxf>
    <dxf>
      <font>
        <color theme="1"/>
      </font>
      <fill>
        <patternFill patternType="none"/>
      </fill>
    </dxf>
    <dxf>
      <font>
        <b/>
      </font>
      <fill>
        <patternFill patternType="solid">
          <fgColor rgb="FFEAD1DC"/>
          <bgColor rgb="FFEAD1DC"/>
        </patternFill>
      </fill>
    </dxf>
  </dxfs>
  <tableStyles count="0" defaultTableStyle="TableStyleMedium2" defaultPivotStyle="PivotStyleLight16"/>
  <colors>
    <mruColors>
      <color rgb="FF73D1F5"/>
      <color rgb="FF3A5081"/>
      <color rgb="FF5B57A6"/>
      <color rgb="FFDDDDDD"/>
      <color rgb="FFA6A3CC"/>
      <color rgb="FF2555A6"/>
      <color rgb="FF0066FF"/>
      <color rgb="FFA6DAF4"/>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9"/>
  <sheetViews>
    <sheetView zoomScale="70" zoomScaleNormal="70" zoomScalePageLayoutView="50" workbookViewId="0">
      <selection activeCell="A24" sqref="A24"/>
    </sheetView>
  </sheetViews>
  <sheetFormatPr defaultColWidth="10.625" defaultRowHeight="15.75"/>
  <cols>
    <col min="1" max="1" width="172.875" style="7" customWidth="1"/>
    <col min="2" max="16384" width="10.625" style="1"/>
  </cols>
  <sheetData>
    <row r="1" spans="1:1" ht="27">
      <c r="A1" s="2" t="s">
        <v>256</v>
      </c>
    </row>
    <row r="2" spans="1:1" ht="27">
      <c r="A2" s="3" t="s">
        <v>257</v>
      </c>
    </row>
    <row r="3" spans="1:1">
      <c r="A3" s="4"/>
    </row>
    <row r="4" spans="1:1" s="5" customFormat="1" ht="28.5" customHeight="1">
      <c r="A4" s="8" t="s">
        <v>0</v>
      </c>
    </row>
    <row r="5" spans="1:1" ht="228">
      <c r="A5" s="6" t="s">
        <v>249</v>
      </c>
    </row>
    <row r="7" spans="1:1" ht="54">
      <c r="A7" s="46" t="s">
        <v>250</v>
      </c>
    </row>
    <row r="9" spans="1:1" ht="81">
      <c r="A9" s="77" t="s">
        <v>604</v>
      </c>
    </row>
  </sheetData>
  <sheetProtection selectLockedCells="1" sort="0" selectUnlockedCells="1"/>
  <pageMargins left="0.7" right="0.7" top="0.75" bottom="0.75" header="0.3" footer="0.3"/>
  <pageSetup scale="65" orientation="landscape" r:id="rId1"/>
  <headerFooter>
    <oddFooter>&amp;LCybersecurity Maturity Model Certification (CMMC) Version 1.02&amp;R&amp;P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9"/>
  <sheetViews>
    <sheetView zoomScale="54" zoomScaleNormal="54" zoomScalePageLayoutView="6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27</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258" customHeight="1">
      <c r="A4" s="109" t="s">
        <v>28</v>
      </c>
      <c r="B4" s="22"/>
      <c r="C4" s="13" t="s">
        <v>112</v>
      </c>
      <c r="D4" s="22"/>
      <c r="E4" s="22"/>
      <c r="F4" s="13"/>
    </row>
    <row r="5" spans="1:6" s="18" customFormat="1" ht="165.6" customHeight="1">
      <c r="A5" s="109"/>
      <c r="B5" s="13"/>
      <c r="C5" s="13" t="s">
        <v>167</v>
      </c>
      <c r="D5" s="22"/>
      <c r="E5" s="22"/>
      <c r="F5" s="13"/>
    </row>
    <row r="6" spans="1:6" s="18" customFormat="1" ht="134.25" customHeight="1">
      <c r="A6" s="109"/>
      <c r="B6" s="13"/>
      <c r="C6" s="13" t="s">
        <v>168</v>
      </c>
      <c r="D6" s="13"/>
      <c r="E6" s="22"/>
      <c r="F6" s="13"/>
    </row>
    <row r="7" spans="1:6" s="18" customFormat="1" ht="225.6" customHeight="1">
      <c r="A7" s="114" t="s">
        <v>29</v>
      </c>
      <c r="B7" s="24"/>
      <c r="C7" s="23" t="s">
        <v>169</v>
      </c>
      <c r="D7" s="23" t="s">
        <v>170</v>
      </c>
      <c r="E7" s="23" t="s">
        <v>171</v>
      </c>
      <c r="F7" s="23" t="s">
        <v>172</v>
      </c>
    </row>
    <row r="8" spans="1:6" s="18" customFormat="1" ht="179.1" customHeight="1">
      <c r="A8" s="114"/>
      <c r="B8" s="23"/>
      <c r="C8" s="23" t="s">
        <v>113</v>
      </c>
      <c r="D8" s="23" t="s">
        <v>173</v>
      </c>
      <c r="E8" s="24"/>
      <c r="F8" s="24"/>
    </row>
    <row r="9" spans="1:6" s="18" customFormat="1" ht="245.1" customHeight="1">
      <c r="A9" s="114"/>
      <c r="B9" s="23"/>
      <c r="C9" s="23" t="s">
        <v>254</v>
      </c>
      <c r="D9" s="23" t="s">
        <v>174</v>
      </c>
      <c r="E9" s="23"/>
      <c r="F9" s="23"/>
    </row>
  </sheetData>
  <sheetProtection selectLockedCells="1" sort="0" selectUnlockedCells="1"/>
  <mergeCells count="5">
    <mergeCell ref="A1:F1"/>
    <mergeCell ref="A2:A3"/>
    <mergeCell ref="A4:A6"/>
    <mergeCell ref="A7:A9"/>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9"/>
  <sheetViews>
    <sheetView zoomScale="54" zoomScaleNormal="54" zoomScalePageLayoutView="60" workbookViewId="0">
      <selection activeCell="B5" sqref="B5"/>
    </sheetView>
  </sheetViews>
  <sheetFormatPr defaultColWidth="10.625" defaultRowHeight="15.75"/>
  <cols>
    <col min="1" max="1" width="34.625" style="19" customWidth="1"/>
    <col min="2" max="6" width="34.125" style="12" customWidth="1"/>
    <col min="7" max="7" width="20.375" style="12" customWidth="1"/>
    <col min="8" max="16384" width="10.625" style="12"/>
  </cols>
  <sheetData>
    <row r="1" spans="1:6" s="9" customFormat="1" ht="30.95" customHeight="1">
      <c r="A1" s="110" t="s">
        <v>30</v>
      </c>
      <c r="B1" s="110"/>
      <c r="C1" s="110"/>
      <c r="D1" s="110"/>
      <c r="E1" s="110"/>
      <c r="F1" s="110"/>
    </row>
    <row r="2" spans="1:6" s="10" customFormat="1" ht="21">
      <c r="A2" s="112" t="s">
        <v>2</v>
      </c>
      <c r="B2" s="112" t="s">
        <v>3</v>
      </c>
      <c r="C2" s="112"/>
      <c r="D2" s="112"/>
      <c r="E2" s="112"/>
      <c r="F2" s="112"/>
    </row>
    <row r="3" spans="1:6" s="10" customFormat="1" ht="21">
      <c r="A3" s="112"/>
      <c r="B3" s="20" t="s">
        <v>4</v>
      </c>
      <c r="C3" s="20" t="s">
        <v>5</v>
      </c>
      <c r="D3" s="20" t="s">
        <v>6</v>
      </c>
      <c r="E3" s="20" t="s">
        <v>7</v>
      </c>
      <c r="F3" s="20" t="s">
        <v>8</v>
      </c>
    </row>
    <row r="4" spans="1:6" s="18" customFormat="1" ht="213.6" customHeight="1">
      <c r="A4" s="115" t="s">
        <v>31</v>
      </c>
      <c r="B4" s="13" t="s">
        <v>164</v>
      </c>
      <c r="C4" s="13" t="s">
        <v>114</v>
      </c>
      <c r="D4" s="13" t="s">
        <v>243</v>
      </c>
      <c r="E4" s="22"/>
      <c r="F4" s="22"/>
    </row>
    <row r="5" spans="1:6" s="18" customFormat="1" ht="214.5" customHeight="1">
      <c r="A5" s="115"/>
      <c r="B5" s="13" t="s">
        <v>165</v>
      </c>
      <c r="C5" s="13" t="s">
        <v>115</v>
      </c>
      <c r="D5" s="13" t="s">
        <v>118</v>
      </c>
      <c r="E5" s="22"/>
      <c r="F5" s="22"/>
    </row>
    <row r="6" spans="1:6" s="18" customFormat="1" ht="142.5" customHeight="1">
      <c r="A6" s="115"/>
      <c r="B6" s="22"/>
      <c r="C6" s="13" t="s">
        <v>116</v>
      </c>
      <c r="D6" s="13" t="s">
        <v>119</v>
      </c>
      <c r="E6" s="13"/>
      <c r="F6" s="22"/>
    </row>
    <row r="7" spans="1:6" s="18" customFormat="1" ht="165.95" customHeight="1">
      <c r="A7" s="115"/>
      <c r="B7" s="22"/>
      <c r="C7" s="13" t="s">
        <v>166</v>
      </c>
      <c r="D7" s="13" t="s">
        <v>120</v>
      </c>
      <c r="E7" s="13"/>
      <c r="F7" s="22"/>
    </row>
    <row r="8" spans="1:6" s="18" customFormat="1" ht="124.5" customHeight="1">
      <c r="A8" s="115"/>
      <c r="B8" s="13"/>
      <c r="C8" s="13" t="s">
        <v>117</v>
      </c>
      <c r="D8" s="22"/>
      <c r="E8" s="13"/>
      <c r="F8" s="13"/>
    </row>
    <row r="9" spans="1:6">
      <c r="A9" s="33"/>
      <c r="D9" s="34"/>
    </row>
  </sheetData>
  <sheetProtection selectLockedCells="1" sort="0" selectUnlockedCells="1"/>
  <mergeCells count="4">
    <mergeCell ref="A2:A3"/>
    <mergeCell ref="A4:A8"/>
    <mergeCell ref="B2:F2"/>
    <mergeCell ref="A1:F1"/>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1"/>
  <sheetViews>
    <sheetView zoomScale="54" zoomScaleNormal="54" zoomScalePageLayoutView="6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32</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7" customFormat="1" ht="168.6" customHeight="1">
      <c r="A4" s="14" t="s">
        <v>33</v>
      </c>
      <c r="B4" s="14"/>
      <c r="C4" s="14" t="s">
        <v>162</v>
      </c>
      <c r="D4" s="16"/>
      <c r="E4" s="14" t="s">
        <v>34</v>
      </c>
      <c r="F4" s="14" t="s">
        <v>126</v>
      </c>
    </row>
    <row r="5" spans="1:6" s="17" customFormat="1" ht="126.75" customHeight="1">
      <c r="A5" s="114" t="s">
        <v>35</v>
      </c>
      <c r="B5" s="27"/>
      <c r="C5" s="26" t="s">
        <v>121</v>
      </c>
      <c r="D5" s="27"/>
      <c r="E5" s="27"/>
      <c r="F5" s="26"/>
    </row>
    <row r="6" spans="1:6" s="17" customFormat="1" ht="105.6" customHeight="1">
      <c r="A6" s="114"/>
      <c r="B6" s="27"/>
      <c r="C6" s="26" t="s">
        <v>122</v>
      </c>
      <c r="D6" s="27"/>
      <c r="E6" s="26"/>
      <c r="F6" s="26"/>
    </row>
    <row r="7" spans="1:6" s="17" customFormat="1" ht="171" customHeight="1">
      <c r="A7" s="109" t="s">
        <v>36</v>
      </c>
      <c r="B7" s="16"/>
      <c r="C7" s="14" t="s">
        <v>123</v>
      </c>
      <c r="D7" s="14" t="s">
        <v>163</v>
      </c>
      <c r="E7" s="14" t="s">
        <v>37</v>
      </c>
      <c r="F7" s="14" t="s">
        <v>127</v>
      </c>
    </row>
    <row r="8" spans="1:6" s="17" customFormat="1" ht="135.6" customHeight="1">
      <c r="A8" s="109"/>
      <c r="B8" s="14"/>
      <c r="C8" s="14"/>
      <c r="D8" s="14"/>
      <c r="E8" s="14"/>
      <c r="F8" s="14" t="s">
        <v>38</v>
      </c>
    </row>
    <row r="9" spans="1:6" s="17" customFormat="1" ht="117.6" customHeight="1">
      <c r="A9" s="26" t="s">
        <v>39</v>
      </c>
      <c r="B9" s="26"/>
      <c r="C9" s="26" t="s">
        <v>124</v>
      </c>
      <c r="D9" s="27"/>
      <c r="E9" s="27"/>
      <c r="F9" s="27"/>
    </row>
    <row r="10" spans="1:6" ht="120.95" customHeight="1">
      <c r="A10" s="14" t="s">
        <v>40</v>
      </c>
      <c r="B10" s="35"/>
      <c r="C10" s="35"/>
      <c r="D10" s="14" t="s">
        <v>125</v>
      </c>
      <c r="E10" s="16"/>
      <c r="F10" s="14" t="s">
        <v>128</v>
      </c>
    </row>
    <row r="11" spans="1:6">
      <c r="A11" s="17"/>
    </row>
  </sheetData>
  <sheetProtection selectLockedCells="1" sort="0" selectUnlockedCells="1"/>
  <mergeCells count="5">
    <mergeCell ref="A1:F1"/>
    <mergeCell ref="A2:A3"/>
    <mergeCell ref="A5:A6"/>
    <mergeCell ref="A7:A8"/>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8"/>
  <sheetViews>
    <sheetView zoomScale="54" zoomScaleNormal="54" zoomScalePageLayoutView="6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41</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19.45" customHeight="1">
      <c r="A4" s="109" t="s">
        <v>42</v>
      </c>
      <c r="B4" s="22"/>
      <c r="C4" s="13" t="s">
        <v>129</v>
      </c>
      <c r="D4" s="13" t="s">
        <v>158</v>
      </c>
      <c r="E4" s="22"/>
      <c r="F4" s="13"/>
    </row>
    <row r="5" spans="1:6" s="18" customFormat="1" ht="150.94999999999999" customHeight="1">
      <c r="A5" s="109"/>
      <c r="B5" s="13"/>
      <c r="C5" s="13" t="s">
        <v>159</v>
      </c>
      <c r="D5" s="13" t="s">
        <v>130</v>
      </c>
      <c r="E5" s="13"/>
      <c r="F5" s="13"/>
    </row>
    <row r="6" spans="1:6" s="18" customFormat="1" ht="180.6" customHeight="1">
      <c r="A6" s="109"/>
      <c r="B6" s="13"/>
      <c r="C6" s="13" t="s">
        <v>160</v>
      </c>
      <c r="D6" s="13"/>
      <c r="E6" s="13"/>
      <c r="F6" s="13"/>
    </row>
    <row r="7" spans="1:6" s="18" customFormat="1" ht="125.25" customHeight="1">
      <c r="A7" s="109"/>
      <c r="B7" s="13"/>
      <c r="C7" s="13" t="s">
        <v>161</v>
      </c>
      <c r="D7" s="13"/>
      <c r="E7" s="13"/>
      <c r="F7" s="13"/>
    </row>
    <row r="8" spans="1:6" s="18" customFormat="1">
      <c r="A8" s="17"/>
      <c r="C8" s="36"/>
    </row>
  </sheetData>
  <sheetProtection selectLockedCells="1" sort="0" selectUnlockedCells="1"/>
  <mergeCells count="4">
    <mergeCell ref="A2:A3"/>
    <mergeCell ref="B2:F2"/>
    <mergeCell ref="A1:F1"/>
    <mergeCell ref="A4:A7"/>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1"/>
  <sheetViews>
    <sheetView zoomScale="54" zoomScaleNormal="54" zoomScalePageLayoutView="60" workbookViewId="0">
      <selection activeCell="O5" sqref="O5"/>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43</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15.5" customHeight="1">
      <c r="A4" s="14" t="s">
        <v>44</v>
      </c>
      <c r="B4" s="13"/>
      <c r="C4" s="22"/>
      <c r="D4" s="13" t="s">
        <v>134</v>
      </c>
      <c r="E4" s="13"/>
      <c r="F4" s="13"/>
    </row>
    <row r="5" spans="1:6" s="18" customFormat="1" ht="137.44999999999999" customHeight="1">
      <c r="A5" s="114" t="s">
        <v>45</v>
      </c>
      <c r="B5" s="23"/>
      <c r="C5" s="23" t="s">
        <v>131</v>
      </c>
      <c r="D5" s="23" t="s">
        <v>135</v>
      </c>
      <c r="E5" s="23"/>
      <c r="F5" s="23"/>
    </row>
    <row r="6" spans="1:6" s="18" customFormat="1" ht="132.6" customHeight="1">
      <c r="A6" s="114"/>
      <c r="B6" s="23"/>
      <c r="C6" s="23" t="s">
        <v>132</v>
      </c>
      <c r="D6" s="23"/>
      <c r="E6" s="23"/>
      <c r="F6" s="23"/>
    </row>
    <row r="7" spans="1:6" s="18" customFormat="1" ht="136.5" customHeight="1">
      <c r="A7" s="114"/>
      <c r="B7" s="23"/>
      <c r="C7" s="23" t="s">
        <v>133</v>
      </c>
      <c r="D7" s="23"/>
      <c r="E7" s="23"/>
      <c r="F7" s="23"/>
    </row>
    <row r="8" spans="1:6" s="18" customFormat="1" ht="169.5" customHeight="1">
      <c r="A8" s="13" t="s">
        <v>46</v>
      </c>
      <c r="B8" s="13" t="s">
        <v>155</v>
      </c>
      <c r="C8" s="22"/>
      <c r="D8" s="13"/>
      <c r="E8" s="13"/>
      <c r="F8" s="13"/>
    </row>
    <row r="9" spans="1:6" s="18" customFormat="1" ht="162" customHeight="1">
      <c r="A9" s="113" t="s">
        <v>47</v>
      </c>
      <c r="B9" s="23"/>
      <c r="C9" s="23"/>
      <c r="D9" s="23" t="s">
        <v>156</v>
      </c>
      <c r="E9" s="23"/>
      <c r="F9" s="24"/>
    </row>
    <row r="10" spans="1:6" s="18" customFormat="1" ht="168.95" customHeight="1">
      <c r="A10" s="113"/>
      <c r="B10" s="23"/>
      <c r="C10" s="23"/>
      <c r="D10" s="23" t="s">
        <v>157</v>
      </c>
      <c r="E10" s="23"/>
      <c r="F10" s="23"/>
    </row>
    <row r="11" spans="1:6" s="18" customFormat="1"/>
  </sheetData>
  <sheetProtection selectLockedCells="1" sort="0" selectUnlockedCells="1"/>
  <mergeCells count="5">
    <mergeCell ref="A1:F1"/>
    <mergeCell ref="A2:A3"/>
    <mergeCell ref="A9:A10"/>
    <mergeCell ref="A5:A7"/>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6"/>
  <sheetViews>
    <sheetView zoomScale="54" zoomScaleNormal="54" zoomScalePageLayoutView="6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48</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22.25" customHeight="1">
      <c r="A4" s="13" t="s">
        <v>49</v>
      </c>
      <c r="B4" s="22"/>
      <c r="C4" s="13" t="s">
        <v>136</v>
      </c>
      <c r="D4" s="13"/>
      <c r="E4" s="22"/>
      <c r="F4" s="22"/>
    </row>
    <row r="5" spans="1:6" s="18" customFormat="1" ht="152.25" customHeight="1">
      <c r="A5" s="23" t="s">
        <v>50</v>
      </c>
      <c r="B5" s="24"/>
      <c r="C5" s="23" t="s">
        <v>137</v>
      </c>
      <c r="D5" s="23"/>
      <c r="E5" s="23"/>
      <c r="F5" s="23"/>
    </row>
    <row r="6" spans="1:6" s="18" customFormat="1">
      <c r="A6" s="36"/>
      <c r="B6" s="36"/>
      <c r="C6" s="37"/>
    </row>
  </sheetData>
  <sheetProtection selectLockedCells="1" sort="0" selectUnlockedCells="1"/>
  <mergeCells count="3">
    <mergeCell ref="A2:A3"/>
    <mergeCell ref="B2:F2"/>
    <mergeCell ref="A1:F1"/>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8"/>
  <sheetViews>
    <sheetView zoomScale="54" zoomScaleNormal="54" zoomScalePageLayoutView="6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51</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64.1" customHeight="1">
      <c r="A4" s="109" t="s">
        <v>52</v>
      </c>
      <c r="B4" s="13" t="s">
        <v>138</v>
      </c>
      <c r="C4" s="13" t="s">
        <v>141</v>
      </c>
      <c r="D4" s="13" t="s">
        <v>154</v>
      </c>
      <c r="E4" s="13"/>
      <c r="F4" s="13"/>
    </row>
    <row r="5" spans="1:6" s="18" customFormat="1" ht="121.5" customHeight="1">
      <c r="A5" s="109"/>
      <c r="B5" s="13" t="s">
        <v>153</v>
      </c>
      <c r="C5" s="22"/>
      <c r="D5" s="13"/>
      <c r="E5" s="13"/>
      <c r="F5" s="13"/>
    </row>
    <row r="6" spans="1:6" s="18" customFormat="1" ht="85.5" customHeight="1">
      <c r="A6" s="109"/>
      <c r="B6" s="13" t="s">
        <v>139</v>
      </c>
      <c r="C6" s="22"/>
      <c r="D6" s="13"/>
      <c r="E6" s="13"/>
      <c r="F6" s="13"/>
    </row>
    <row r="7" spans="1:6" s="18" customFormat="1" ht="114" customHeight="1">
      <c r="A7" s="109"/>
      <c r="B7" s="13" t="s">
        <v>140</v>
      </c>
      <c r="C7" s="22"/>
      <c r="D7" s="13"/>
      <c r="E7" s="13"/>
      <c r="F7" s="13"/>
    </row>
    <row r="8" spans="1:6" s="18" customFormat="1">
      <c r="A8" s="38"/>
      <c r="B8" s="25"/>
    </row>
  </sheetData>
  <sheetProtection selectLockedCells="1" sort="0" selectUnlockedCells="1"/>
  <mergeCells count="4">
    <mergeCell ref="A1:F1"/>
    <mergeCell ref="A2:A3"/>
    <mergeCell ref="B2:F2"/>
    <mergeCell ref="A4:A7"/>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7"/>
  <sheetViews>
    <sheetView zoomScale="54" zoomScaleNormal="54" zoomScalePageLayoutView="60" workbookViewId="0">
      <selection activeCell="C5" sqref="C5"/>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53</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32.6" customHeight="1">
      <c r="A4" s="109" t="s">
        <v>240</v>
      </c>
      <c r="B4" s="13"/>
      <c r="C4" s="13" t="s">
        <v>241</v>
      </c>
      <c r="D4" s="13" t="s">
        <v>242</v>
      </c>
      <c r="E4" s="13"/>
      <c r="F4" s="13"/>
    </row>
    <row r="5" spans="1:6" s="18" customFormat="1" ht="105.95" customHeight="1">
      <c r="A5" s="109"/>
      <c r="B5" s="13"/>
      <c r="C5" s="13" t="s">
        <v>142</v>
      </c>
      <c r="D5" s="13"/>
      <c r="E5" s="13"/>
      <c r="F5" s="13"/>
    </row>
    <row r="6" spans="1:6" s="18" customFormat="1" ht="168.95" customHeight="1">
      <c r="A6" s="26" t="s">
        <v>54</v>
      </c>
      <c r="B6" s="23"/>
      <c r="C6" s="24"/>
      <c r="D6" s="24"/>
      <c r="E6" s="24"/>
      <c r="F6" s="23" t="s">
        <v>152</v>
      </c>
    </row>
    <row r="7" spans="1:6" s="18" customFormat="1" ht="16.5" customHeight="1">
      <c r="C7" s="25"/>
      <c r="D7" s="36"/>
      <c r="E7" s="25"/>
    </row>
  </sheetData>
  <sheetProtection selectLockedCells="1" sort="0" selectUnlockedCells="1"/>
  <mergeCells count="4">
    <mergeCell ref="A2:A3"/>
    <mergeCell ref="B2:F2"/>
    <mergeCell ref="A4:A5"/>
    <mergeCell ref="A1:F1"/>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0"/>
  <sheetViews>
    <sheetView topLeftCell="A4" zoomScale="54" zoomScaleNormal="54" zoomScalePageLayoutView="5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55</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235.5" customHeight="1">
      <c r="A4" s="115" t="s">
        <v>56</v>
      </c>
      <c r="B4" s="13"/>
      <c r="C4" s="13" t="s">
        <v>143</v>
      </c>
      <c r="D4" s="13" t="s">
        <v>145</v>
      </c>
      <c r="E4" s="13" t="s">
        <v>245</v>
      </c>
      <c r="F4" s="22"/>
    </row>
    <row r="5" spans="1:6" s="18" customFormat="1" ht="198.6" customHeight="1">
      <c r="A5" s="115"/>
      <c r="B5" s="13"/>
      <c r="C5" s="13" t="s">
        <v>151</v>
      </c>
      <c r="D5" s="22"/>
      <c r="E5" s="13" t="s">
        <v>148</v>
      </c>
      <c r="F5" s="22"/>
    </row>
    <row r="6" spans="1:6" s="18" customFormat="1" ht="135.94999999999999" customHeight="1">
      <c r="A6" s="115"/>
      <c r="B6" s="13"/>
      <c r="C6" s="22"/>
      <c r="D6" s="13"/>
      <c r="E6" s="13" t="s">
        <v>149</v>
      </c>
      <c r="F6" s="13"/>
    </row>
    <row r="7" spans="1:6" s="18" customFormat="1" ht="136.5" customHeight="1">
      <c r="A7" s="113" t="s">
        <v>57</v>
      </c>
      <c r="B7" s="23"/>
      <c r="C7" s="23" t="s">
        <v>144</v>
      </c>
      <c r="D7" s="23" t="s">
        <v>146</v>
      </c>
      <c r="E7" s="24"/>
      <c r="F7" s="23" t="s">
        <v>58</v>
      </c>
    </row>
    <row r="8" spans="1:6" s="18" customFormat="1" ht="161.1" customHeight="1">
      <c r="A8" s="113"/>
      <c r="B8" s="23"/>
      <c r="C8" s="24"/>
      <c r="D8" s="23" t="s">
        <v>147</v>
      </c>
      <c r="E8" s="24"/>
      <c r="F8" s="23" t="s">
        <v>59</v>
      </c>
    </row>
    <row r="9" spans="1:6" s="18" customFormat="1" ht="169.5" customHeight="1">
      <c r="A9" s="45" t="s">
        <v>60</v>
      </c>
      <c r="B9" s="13"/>
      <c r="C9" s="13"/>
      <c r="D9" s="22"/>
      <c r="E9" s="13" t="s">
        <v>150</v>
      </c>
      <c r="F9" s="22"/>
    </row>
    <row r="10" spans="1:6" s="18" customFormat="1">
      <c r="A10" s="17"/>
      <c r="E10" s="25"/>
    </row>
  </sheetData>
  <sheetProtection selectLockedCells="1" sort="0" selectUnlockedCells="1"/>
  <mergeCells count="5">
    <mergeCell ref="A1:F1"/>
    <mergeCell ref="A7:A8"/>
    <mergeCell ref="A2:A3"/>
    <mergeCell ref="A4:A6"/>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8"/>
  <sheetViews>
    <sheetView topLeftCell="A4" zoomScale="90" zoomScaleNormal="90" zoomScalePageLayoutView="60" workbookViewId="0">
      <selection sqref="A1:F1"/>
    </sheetView>
  </sheetViews>
  <sheetFormatPr defaultColWidth="10.625" defaultRowHeight="15.75"/>
  <cols>
    <col min="1" max="1" width="34.625" style="19" customWidth="1"/>
    <col min="2" max="6" width="34.125" style="12" customWidth="1"/>
    <col min="7" max="16384" width="10.625" style="12"/>
  </cols>
  <sheetData>
    <row r="1" spans="1:6" s="9" customFormat="1" ht="30.95" customHeight="1">
      <c r="A1" s="110" t="s">
        <v>61</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79.45" customHeight="1">
      <c r="A4" s="13" t="s">
        <v>62</v>
      </c>
      <c r="B4" s="13"/>
      <c r="C4" s="13" t="s">
        <v>196</v>
      </c>
      <c r="D4" s="13"/>
      <c r="E4" s="13" t="s">
        <v>201</v>
      </c>
      <c r="F4" s="13"/>
    </row>
    <row r="5" spans="1:6" s="18" customFormat="1" ht="152.1" customHeight="1">
      <c r="A5" s="113" t="s">
        <v>63</v>
      </c>
      <c r="B5" s="23"/>
      <c r="C5" s="23" t="s">
        <v>197</v>
      </c>
      <c r="D5" s="23" t="s">
        <v>199</v>
      </c>
      <c r="E5" s="23" t="s">
        <v>202</v>
      </c>
      <c r="F5" s="24"/>
    </row>
    <row r="6" spans="1:6" s="18" customFormat="1" ht="138.94999999999999" customHeight="1">
      <c r="A6" s="113"/>
      <c r="B6" s="23"/>
      <c r="C6" s="23" t="s">
        <v>198</v>
      </c>
      <c r="D6" s="23"/>
      <c r="E6" s="23" t="s">
        <v>203</v>
      </c>
      <c r="F6" s="23"/>
    </row>
    <row r="7" spans="1:6" s="18" customFormat="1" ht="138.6" customHeight="1">
      <c r="A7" s="13" t="s">
        <v>64</v>
      </c>
      <c r="B7" s="13"/>
      <c r="C7" s="22"/>
      <c r="D7" s="13" t="s">
        <v>200</v>
      </c>
      <c r="E7" s="13"/>
      <c r="F7" s="13"/>
    </row>
    <row r="8" spans="1:6" s="18" customFormat="1">
      <c r="C8" s="36"/>
      <c r="D8" s="36"/>
      <c r="E8" s="36"/>
    </row>
  </sheetData>
  <sheetProtection selectLockedCells="1" sort="0" selectUnlockedCells="1"/>
  <mergeCells count="4">
    <mergeCell ref="A5:A6"/>
    <mergeCell ref="A1:F1"/>
    <mergeCell ref="A2:A3"/>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2655-09C8-4B97-8C84-2BD0F407F3C9}">
  <sheetPr>
    <tabColor theme="9" tint="0.79998168889431442"/>
  </sheetPr>
  <dimension ref="A1:I172"/>
  <sheetViews>
    <sheetView zoomScaleNormal="100" workbookViewId="0">
      <selection activeCell="C109" sqref="C109"/>
    </sheetView>
  </sheetViews>
  <sheetFormatPr defaultRowHeight="15.75"/>
  <cols>
    <col min="1" max="1" width="12.875" customWidth="1"/>
    <col min="2" max="2" width="11.625" customWidth="1"/>
    <col min="3" max="3" width="134.875" customWidth="1"/>
  </cols>
  <sheetData>
    <row r="1" spans="1:9">
      <c r="A1" s="66" t="s">
        <v>572</v>
      </c>
      <c r="B1" s="66" t="s">
        <v>573</v>
      </c>
      <c r="C1" s="67" t="s">
        <v>574</v>
      </c>
      <c r="D1" s="67" t="s">
        <v>575</v>
      </c>
      <c r="E1" s="67" t="s">
        <v>576</v>
      </c>
      <c r="F1" s="67" t="s">
        <v>577</v>
      </c>
      <c r="G1" s="67" t="s">
        <v>578</v>
      </c>
      <c r="H1" s="67" t="s">
        <v>579</v>
      </c>
      <c r="I1" s="67" t="s">
        <v>580</v>
      </c>
    </row>
    <row r="2" spans="1:9">
      <c r="A2" s="71" t="str">
        <f ca="1">IFERROR(__xludf.DUMMYFUNCTION("QUERY(catalog, ""SELECT D, C, E WHERE B = 'AC' ORDER BY C, A"", 0)"),"AC.1.001")</f>
        <v>AC.1.001</v>
      </c>
      <c r="B2" s="71">
        <f ca="1">IFERROR(__xludf.DUMMYFUNCTION("""COMPUTED_VALUE"""),1)</f>
        <v>1</v>
      </c>
      <c r="C2" s="72" t="str">
        <f ca="1">IFERROR(__xludf.DUMMYFUNCTION("""COMPUTED_VALUE"""),"Limit information system access to authorized users, processes acting on behalf of authorized users, or devices (including other information systems).")</f>
        <v>Limit information system access to authorized users, processes acting on behalf of authorized users, or devices (including other information systems).</v>
      </c>
      <c r="D2">
        <f ca="1">COUNTIF($B$2:$B$172,"1")</f>
        <v>17</v>
      </c>
      <c r="E2">
        <f ca="1">COUNTIF($B$2:$B$172,"2")</f>
        <v>55</v>
      </c>
      <c r="F2">
        <f ca="1">COUNTIF($B$2:$B$172,"3")</f>
        <v>58</v>
      </c>
      <c r="G2">
        <f ca="1">COUNTIF($B$2:$B$172,"4")</f>
        <v>26</v>
      </c>
      <c r="H2">
        <f ca="1">COUNTIF($B$2:$B$172,"5")</f>
        <v>15</v>
      </c>
      <c r="I2">
        <f ca="1">SUM(D2:H2)</f>
        <v>171</v>
      </c>
    </row>
    <row r="3" spans="1:9">
      <c r="A3" s="73" t="str">
        <f ca="1">IFERROR(__xludf.DUMMYFUNCTION("""COMPUTED_VALUE"""),"AC.1.002")</f>
        <v>AC.1.002</v>
      </c>
      <c r="B3" s="71">
        <f ca="1">IFERROR(__xludf.DUMMYFUNCTION("""COMPUTED_VALUE"""),1)</f>
        <v>1</v>
      </c>
      <c r="C3" s="72" t="str">
        <f ca="1">IFERROR(__xludf.DUMMYFUNCTION("""COMPUTED_VALUE"""),"Limit information system access to the types of transactions and functions that authorized users are permitted to execute.")</f>
        <v>Limit information system access to the types of transactions and functions that authorized users are permitted to execute.</v>
      </c>
      <c r="E3">
        <f ca="1">SUM(D2+E2)</f>
        <v>72</v>
      </c>
      <c r="F3">
        <f ca="1">SUM(E3+F2)</f>
        <v>130</v>
      </c>
      <c r="G3">
        <f ca="1">SUM(F3+G2)</f>
        <v>156</v>
      </c>
      <c r="H3">
        <f ca="1">SUM(G3+H2)</f>
        <v>171</v>
      </c>
    </row>
    <row r="4" spans="1:9">
      <c r="A4" s="70" t="str">
        <f ca="1">IFERROR(__xludf.DUMMYFUNCTION("""COMPUTED_VALUE"""),"AC.1.003")</f>
        <v>AC.1.003</v>
      </c>
      <c r="B4" s="68">
        <f ca="1">IFERROR(__xludf.DUMMYFUNCTION("""COMPUTED_VALUE"""),1)</f>
        <v>1</v>
      </c>
      <c r="C4" s="69" t="str">
        <f ca="1">IFERROR(__xludf.DUMMYFUNCTION("""COMPUTED_VALUE"""),"Verify and control/limit connections to and use of external information systems.")</f>
        <v>Verify and control/limit connections to and use of external information systems.</v>
      </c>
    </row>
    <row r="5" spans="1:9">
      <c r="A5" s="70" t="str">
        <f ca="1">IFERROR(__xludf.DUMMYFUNCTION("""COMPUTED_VALUE"""),"AC.1.004")</f>
        <v>AC.1.004</v>
      </c>
      <c r="B5" s="68">
        <f ca="1">IFERROR(__xludf.DUMMYFUNCTION("""COMPUTED_VALUE"""),1)</f>
        <v>1</v>
      </c>
      <c r="C5" s="69" t="str">
        <f ca="1">IFERROR(__xludf.DUMMYFUNCTION("""COMPUTED_VALUE"""),"Control information posted or processed on publicly accessible information systems.")</f>
        <v>Control information posted or processed on publicly accessible information systems.</v>
      </c>
    </row>
    <row r="6" spans="1:9">
      <c r="A6" s="70" t="str">
        <f ca="1">IFERROR(__xludf.DUMMYFUNCTION("""COMPUTED_VALUE"""),"AC.2.005")</f>
        <v>AC.2.005</v>
      </c>
      <c r="B6" s="68">
        <f ca="1">IFERROR(__xludf.DUMMYFUNCTION("""COMPUTED_VALUE"""),2)</f>
        <v>2</v>
      </c>
      <c r="C6" s="69" t="str">
        <f ca="1">IFERROR(__xludf.DUMMYFUNCTION("""COMPUTED_VALUE"""),"Provide privacy and security notices consistent with applicable CUI rules.")</f>
        <v>Provide privacy and security notices consistent with applicable CUI rules.</v>
      </c>
    </row>
    <row r="7" spans="1:9">
      <c r="A7" s="70" t="str">
        <f ca="1">IFERROR(__xludf.DUMMYFUNCTION("""COMPUTED_VALUE"""),"AC.2.006")</f>
        <v>AC.2.006</v>
      </c>
      <c r="B7" s="68">
        <f ca="1">IFERROR(__xludf.DUMMYFUNCTION("""COMPUTED_VALUE"""),2)</f>
        <v>2</v>
      </c>
      <c r="C7" s="69" t="str">
        <f ca="1">IFERROR(__xludf.DUMMYFUNCTION("""COMPUTED_VALUE"""),"Limit use of portable storage devices on external systems.")</f>
        <v>Limit use of portable storage devices on external systems.</v>
      </c>
    </row>
    <row r="8" spans="1:9">
      <c r="A8" s="70" t="str">
        <f ca="1">IFERROR(__xludf.DUMMYFUNCTION("""COMPUTED_VALUE"""),"AC.2.007")</f>
        <v>AC.2.007</v>
      </c>
      <c r="B8" s="68">
        <f ca="1">IFERROR(__xludf.DUMMYFUNCTION("""COMPUTED_VALUE"""),2)</f>
        <v>2</v>
      </c>
      <c r="C8" s="69" t="str">
        <f ca="1">IFERROR(__xludf.DUMMYFUNCTION("""COMPUTED_VALUE"""),"Employ the principle of least privilege, including for specific security functions and privileged accounts.")</f>
        <v>Employ the principle of least privilege, including for specific security functions and privileged accounts.</v>
      </c>
    </row>
    <row r="9" spans="1:9">
      <c r="A9" s="70" t="str">
        <f ca="1">IFERROR(__xludf.DUMMYFUNCTION("""COMPUTED_VALUE"""),"AC.2.008")</f>
        <v>AC.2.008</v>
      </c>
      <c r="B9" s="68">
        <f ca="1">IFERROR(__xludf.DUMMYFUNCTION("""COMPUTED_VALUE"""),2)</f>
        <v>2</v>
      </c>
      <c r="C9" s="69" t="str">
        <f ca="1">IFERROR(__xludf.DUMMYFUNCTION("""COMPUTED_VALUE"""),"Use non-privileged accounts or roles when accessing nonsecurity functions.")</f>
        <v>Use non-privileged accounts or roles when accessing nonsecurity functions.</v>
      </c>
    </row>
    <row r="10" spans="1:9">
      <c r="A10" s="70" t="str">
        <f ca="1">IFERROR(__xludf.DUMMYFUNCTION("""COMPUTED_VALUE"""),"AC.2.009")</f>
        <v>AC.2.009</v>
      </c>
      <c r="B10" s="68">
        <f ca="1">IFERROR(__xludf.DUMMYFUNCTION("""COMPUTED_VALUE"""),2)</f>
        <v>2</v>
      </c>
      <c r="C10" s="69" t="str">
        <f ca="1">IFERROR(__xludf.DUMMYFUNCTION("""COMPUTED_VALUE"""),"Limit unsuccessful logon attempts.")</f>
        <v>Limit unsuccessful logon attempts.</v>
      </c>
    </row>
    <row r="11" spans="1:9">
      <c r="A11" s="70" t="str">
        <f ca="1">IFERROR(__xludf.DUMMYFUNCTION("""COMPUTED_VALUE"""),"AC.2.010")</f>
        <v>AC.2.010</v>
      </c>
      <c r="B11" s="68">
        <f ca="1">IFERROR(__xludf.DUMMYFUNCTION("""COMPUTED_VALUE"""),2)</f>
        <v>2</v>
      </c>
      <c r="C11" s="69" t="str">
        <f ca="1">IFERROR(__xludf.DUMMYFUNCTION("""COMPUTED_VALUE"""),"Use session lock with pattern-hiding displays to prevent access and viewing of data after a period of inactivity.")</f>
        <v>Use session lock with pattern-hiding displays to prevent access and viewing of data after a period of inactivity.</v>
      </c>
    </row>
    <row r="12" spans="1:9">
      <c r="A12" s="70" t="str">
        <f ca="1">IFERROR(__xludf.DUMMYFUNCTION("""COMPUTED_VALUE"""),"AC.2.011")</f>
        <v>AC.2.011</v>
      </c>
      <c r="B12" s="68">
        <f ca="1">IFERROR(__xludf.DUMMYFUNCTION("""COMPUTED_VALUE"""),2)</f>
        <v>2</v>
      </c>
      <c r="C12" s="69" t="str">
        <f ca="1">IFERROR(__xludf.DUMMYFUNCTION("""COMPUTED_VALUE"""),"Authorize wireless access prior to allowing such connections.")</f>
        <v>Authorize wireless access prior to allowing such connections.</v>
      </c>
    </row>
    <row r="13" spans="1:9">
      <c r="A13" s="70" t="str">
        <f ca="1">IFERROR(__xludf.DUMMYFUNCTION("""COMPUTED_VALUE"""),"AC.2.013")</f>
        <v>AC.2.013</v>
      </c>
      <c r="B13" s="68">
        <f ca="1">IFERROR(__xludf.DUMMYFUNCTION("""COMPUTED_VALUE"""),2)</f>
        <v>2</v>
      </c>
      <c r="C13" s="69" t="str">
        <f ca="1">IFERROR(__xludf.DUMMYFUNCTION("""COMPUTED_VALUE"""),"Monitor and control remote access sessions.")</f>
        <v>Monitor and control remote access sessions.</v>
      </c>
    </row>
    <row r="14" spans="1:9">
      <c r="A14" s="70" t="str">
        <f ca="1">IFERROR(__xludf.DUMMYFUNCTION("""COMPUTED_VALUE"""),"AC.2.015")</f>
        <v>AC.2.015</v>
      </c>
      <c r="B14" s="68">
        <f ca="1">IFERROR(__xludf.DUMMYFUNCTION("""COMPUTED_VALUE"""),2)</f>
        <v>2</v>
      </c>
      <c r="C14" s="69" t="str">
        <f ca="1">IFERROR(__xludf.DUMMYFUNCTION("""COMPUTED_VALUE"""),"Route remote access via managed access control points.")</f>
        <v>Route remote access via managed access control points.</v>
      </c>
    </row>
    <row r="15" spans="1:9">
      <c r="A15" s="70" t="str">
        <f ca="1">IFERROR(__xludf.DUMMYFUNCTION("""COMPUTED_VALUE"""),"AC.2.016")</f>
        <v>AC.2.016</v>
      </c>
      <c r="B15" s="68">
        <f ca="1">IFERROR(__xludf.DUMMYFUNCTION("""COMPUTED_VALUE"""),2)</f>
        <v>2</v>
      </c>
      <c r="C15" s="69" t="str">
        <f ca="1">IFERROR(__xludf.DUMMYFUNCTION("""COMPUTED_VALUE"""),"Control the flow of CUI in accordance with approved authorizations.")</f>
        <v>Control the flow of CUI in accordance with approved authorizations.</v>
      </c>
    </row>
    <row r="16" spans="1:9">
      <c r="A16" s="70" t="str">
        <f ca="1">IFERROR(__xludf.DUMMYFUNCTION("""COMPUTED_VALUE"""),"AC.3.012")</f>
        <v>AC.3.012</v>
      </c>
      <c r="B16" s="68">
        <f ca="1">IFERROR(__xludf.DUMMYFUNCTION("""COMPUTED_VALUE"""),3)</f>
        <v>3</v>
      </c>
      <c r="C16" s="69" t="str">
        <f ca="1">IFERROR(__xludf.DUMMYFUNCTION("""COMPUTED_VALUE"""),"Protect wireless access using authentication and encryption.")</f>
        <v>Protect wireless access using authentication and encryption.</v>
      </c>
    </row>
    <row r="17" spans="1:3">
      <c r="A17" s="70" t="str">
        <f ca="1">IFERROR(__xludf.DUMMYFUNCTION("""COMPUTED_VALUE"""),"AC.3.014")</f>
        <v>AC.3.014</v>
      </c>
      <c r="B17" s="68">
        <f ca="1">IFERROR(__xludf.DUMMYFUNCTION("""COMPUTED_VALUE"""),3)</f>
        <v>3</v>
      </c>
      <c r="C17" s="69" t="str">
        <f ca="1">IFERROR(__xludf.DUMMYFUNCTION("""COMPUTED_VALUE"""),"Employ cryptographic mechanisms to protect the confidentiality of remote access sessions.")</f>
        <v>Employ cryptographic mechanisms to protect the confidentiality of remote access sessions.</v>
      </c>
    </row>
    <row r="18" spans="1:3">
      <c r="A18" s="70" t="str">
        <f ca="1">IFERROR(__xludf.DUMMYFUNCTION("""COMPUTED_VALUE"""),"AC.3.017")</f>
        <v>AC.3.017</v>
      </c>
      <c r="B18" s="68">
        <f ca="1">IFERROR(__xludf.DUMMYFUNCTION("""COMPUTED_VALUE"""),3)</f>
        <v>3</v>
      </c>
      <c r="C18" s="69" t="str">
        <f ca="1">IFERROR(__xludf.DUMMYFUNCTION("""COMPUTED_VALUE"""),"Separate the duties of individuals to reduce the risk of malevolent activity without collusion.")</f>
        <v>Separate the duties of individuals to reduce the risk of malevolent activity without collusion.</v>
      </c>
    </row>
    <row r="19" spans="1:3">
      <c r="A19" s="70" t="str">
        <f ca="1">IFERROR(__xludf.DUMMYFUNCTION("""COMPUTED_VALUE"""),"AC.3.018")</f>
        <v>AC.3.018</v>
      </c>
      <c r="B19" s="68">
        <f ca="1">IFERROR(__xludf.DUMMYFUNCTION("""COMPUTED_VALUE"""),3)</f>
        <v>3</v>
      </c>
      <c r="C19" s="69" t="str">
        <f ca="1">IFERROR(__xludf.DUMMYFUNCTION("""COMPUTED_VALUE"""),"Prevent non-privileged users from executing privileged functions and capture the execution of such functions in audit logs.")</f>
        <v>Prevent non-privileged users from executing privileged functions and capture the execution of such functions in audit logs.</v>
      </c>
    </row>
    <row r="20" spans="1:3">
      <c r="A20" s="70" t="str">
        <f ca="1">IFERROR(__xludf.DUMMYFUNCTION("""COMPUTED_VALUE"""),"AC.3.019")</f>
        <v>AC.3.019</v>
      </c>
      <c r="B20" s="68">
        <f ca="1">IFERROR(__xludf.DUMMYFUNCTION("""COMPUTED_VALUE"""),3)</f>
        <v>3</v>
      </c>
      <c r="C20" s="69" t="str">
        <f ca="1">IFERROR(__xludf.DUMMYFUNCTION("""COMPUTED_VALUE"""),"Terminate (automatically) user sessions after a defined condition.")</f>
        <v>Terminate (automatically) user sessions after a defined condition.</v>
      </c>
    </row>
    <row r="21" spans="1:3">
      <c r="A21" s="70" t="str">
        <f ca="1">IFERROR(__xludf.DUMMYFUNCTION("""COMPUTED_VALUE"""),"AC.3.020")</f>
        <v>AC.3.020</v>
      </c>
      <c r="B21" s="68">
        <f ca="1">IFERROR(__xludf.DUMMYFUNCTION("""COMPUTED_VALUE"""),3)</f>
        <v>3</v>
      </c>
      <c r="C21" s="69" t="str">
        <f ca="1">IFERROR(__xludf.DUMMYFUNCTION("""COMPUTED_VALUE"""),"Control connection of mobile devices.")</f>
        <v>Control connection of mobile devices.</v>
      </c>
    </row>
    <row r="22" spans="1:3">
      <c r="A22" s="70" t="str">
        <f ca="1">IFERROR(__xludf.DUMMYFUNCTION("""COMPUTED_VALUE"""),"AC.3.021")</f>
        <v>AC.3.021</v>
      </c>
      <c r="B22" s="68">
        <f ca="1">IFERROR(__xludf.DUMMYFUNCTION("""COMPUTED_VALUE"""),3)</f>
        <v>3</v>
      </c>
      <c r="C22" s="69" t="str">
        <f ca="1">IFERROR(__xludf.DUMMYFUNCTION("""COMPUTED_VALUE"""),"Authorize remote execution of privileged commands and remote access to security-relevant information.")</f>
        <v>Authorize remote execution of privileged commands and remote access to security-relevant information.</v>
      </c>
    </row>
    <row r="23" spans="1:3">
      <c r="A23" s="70" t="str">
        <f ca="1">IFERROR(__xludf.DUMMYFUNCTION("""COMPUTED_VALUE"""),"AC.3.022")</f>
        <v>AC.3.022</v>
      </c>
      <c r="B23" s="68">
        <f ca="1">IFERROR(__xludf.DUMMYFUNCTION("""COMPUTED_VALUE"""),3)</f>
        <v>3</v>
      </c>
      <c r="C23" s="69" t="str">
        <f ca="1">IFERROR(__xludf.DUMMYFUNCTION("""COMPUTED_VALUE"""),"Encrypt CUI on mobile devices and mobile computing platforms.")</f>
        <v>Encrypt CUI on mobile devices and mobile computing platforms.</v>
      </c>
    </row>
    <row r="24" spans="1:3">
      <c r="A24" s="70" t="str">
        <f ca="1">IFERROR(__xludf.DUMMYFUNCTION("""COMPUTED_VALUE"""),"AC.4.023")</f>
        <v>AC.4.023</v>
      </c>
      <c r="B24" s="68">
        <f ca="1">IFERROR(__xludf.DUMMYFUNCTION("""COMPUTED_VALUE"""),4)</f>
        <v>4</v>
      </c>
      <c r="C24" s="69" t="str">
        <f ca="1">IFERROR(__xludf.DUMMYFUNCTION("""COMPUTED_VALUE"""),"Control information flows between security domains on connected systems.")</f>
        <v>Control information flows between security domains on connected systems.</v>
      </c>
    </row>
    <row r="25" spans="1:3">
      <c r="A25" s="70" t="str">
        <f ca="1">IFERROR(__xludf.DUMMYFUNCTION("""COMPUTED_VALUE"""),"AC.4.025")</f>
        <v>AC.4.025</v>
      </c>
      <c r="B25" s="68">
        <f ca="1">IFERROR(__xludf.DUMMYFUNCTION("""COMPUTED_VALUE"""),4)</f>
        <v>4</v>
      </c>
      <c r="C25" s="69" t="str">
        <f ca="1">IFERROR(__xludf.DUMMYFUNCTION("""COMPUTED_VALUE"""),"Periodically review and update CUI program access permissions.")</f>
        <v>Periodically review and update CUI program access permissions.</v>
      </c>
    </row>
    <row r="26" spans="1:3" ht="26.25">
      <c r="A26" s="70" t="str">
        <f ca="1">IFERROR(__xludf.DUMMYFUNCTION("""COMPUTED_VALUE"""),"AC.4.032")</f>
        <v>AC.4.032</v>
      </c>
      <c r="B26" s="68">
        <f ca="1">IFERROR(__xludf.DUMMYFUNCTION("""COMPUTED_VALUE"""),4)</f>
        <v>4</v>
      </c>
      <c r="C26" s="69" t="str">
        <f ca="1">IFERROR(__xludf.DUMMYFUNCTION("""COMPUTED_VALUE"""),"Restrict remote network access based on organizationally defined risk factors such as time of day, location of access, physical location, network connection state, and measured properties of the current user and role.")</f>
        <v>Restrict remote network access based on organizationally defined risk factors such as time of day, location of access, physical location, network connection state, and measured properties of the current user and role.</v>
      </c>
    </row>
    <row r="27" spans="1:3">
      <c r="A27" s="70" t="str">
        <f ca="1">IFERROR(__xludf.DUMMYFUNCTION("""COMPUTED_VALUE"""),"AC.5.024")</f>
        <v>AC.5.024</v>
      </c>
      <c r="B27" s="68">
        <f ca="1">IFERROR(__xludf.DUMMYFUNCTION("""COMPUTED_VALUE"""),5)</f>
        <v>5</v>
      </c>
      <c r="C27" s="69" t="str">
        <f ca="1">IFERROR(__xludf.DUMMYFUNCTION("""COMPUTED_VALUE"""),"Identify and mitigate risk associated with unidentified wireless access points connected to the network.")</f>
        <v>Identify and mitigate risk associated with unidentified wireless access points connected to the network.</v>
      </c>
    </row>
    <row r="28" spans="1:3">
      <c r="A28" s="100" t="str">
        <f ca="1">IFERROR(__xludf.DUMMYFUNCTION("""COMPUTED_VALUE"""),"AM.3.036")</f>
        <v>AM.3.036</v>
      </c>
      <c r="B28" s="68">
        <f ca="1">IFERROR(__xludf.DUMMYFUNCTION("""COMPUTED_VALUE"""),3)</f>
        <v>3</v>
      </c>
      <c r="C28" s="69" t="str">
        <f ca="1">IFERROR(__xludf.DUMMYFUNCTION("""COMPUTED_VALUE"""),"Define procedures for the handling of CUI data.")</f>
        <v>Define procedures for the handling of CUI data.</v>
      </c>
    </row>
    <row r="29" spans="1:3">
      <c r="A29" s="70" t="str">
        <f ca="1">IFERROR(__xludf.DUMMYFUNCTION("""COMPUTED_VALUE"""),"AM.4.226")</f>
        <v>AM.4.226</v>
      </c>
      <c r="B29" s="68">
        <f ca="1">IFERROR(__xludf.DUMMYFUNCTION("""COMPUTED_VALUE"""),4)</f>
        <v>4</v>
      </c>
      <c r="C29" s="69" t="str">
        <f ca="1">IFERROR(__xludf.DUMMYFUNCTION("""COMPUTED_VALUE"""),"Employ a capability to discover and identify systems with specific component attributes (e.g., firmware level, OS type) within your inventory.")</f>
        <v>Employ a capability to discover and identify systems with specific component attributes (e.g., firmware level, OS type) within your inventory.</v>
      </c>
    </row>
    <row r="30" spans="1:3" ht="26.25">
      <c r="A30" s="68" t="str">
        <f ca="1">IFERROR(__xludf.DUMMYFUNCTION("QUERY(catalog, ""SELECT D, C, E WHERE B = 'AT' ORDER BY C, A"", 0)"),"AT.2.056")</f>
        <v>AT.2.056</v>
      </c>
      <c r="B30" s="68">
        <f ca="1">IFERROR(__xludf.DUMMYFUNCTION("""COMPUTED_VALUE"""),2)</f>
        <v>2</v>
      </c>
      <c r="C30" s="69" t="str">
        <f ca="1">IFERROR(__xludf.DUMMYFUNCTION("""COMPUTED_VALUE"""),"Ensure that managers, system administrators, and users of organizational systems are made aware of the security risks associated with their activities and of the applicable policies, standards, and procedures related to the security of those systems.")</f>
        <v>Ensure that managers, system administrators, and users of organizational systems are made aware of the security risks associated with their activities and of the applicable policies, standards, and procedures related to the security of those systems.</v>
      </c>
    </row>
    <row r="31" spans="1:3">
      <c r="A31" s="70" t="str">
        <f ca="1">IFERROR(__xludf.DUMMYFUNCTION("""COMPUTED_VALUE"""),"AT.2.057")</f>
        <v>AT.2.057</v>
      </c>
      <c r="B31" s="68">
        <f ca="1">IFERROR(__xludf.DUMMYFUNCTION("""COMPUTED_VALUE"""),2)</f>
        <v>2</v>
      </c>
      <c r="C31" s="69" t="str">
        <f ca="1">IFERROR(__xludf.DUMMYFUNCTION("""COMPUTED_VALUE"""),"Ensure that personnel are trained to carry out their assigned information security-related duties and responsibilities.")</f>
        <v>Ensure that personnel are trained to carry out their assigned information security-related duties and responsibilities.</v>
      </c>
    </row>
    <row r="32" spans="1:3">
      <c r="A32" s="70" t="str">
        <f ca="1">IFERROR(__xludf.DUMMYFUNCTION("""COMPUTED_VALUE"""),"AT.3.058")</f>
        <v>AT.3.058</v>
      </c>
      <c r="B32" s="68">
        <f ca="1">IFERROR(__xludf.DUMMYFUNCTION("""COMPUTED_VALUE"""),3)</f>
        <v>3</v>
      </c>
      <c r="C32" s="69" t="str">
        <f ca="1">IFERROR(__xludf.DUMMYFUNCTION("""COMPUTED_VALUE"""),"Provide security awareness training on recognizing and reporting potential indicators of insider threat.")</f>
        <v>Provide security awareness training on recognizing and reporting potential indicators of insider threat.</v>
      </c>
    </row>
    <row r="33" spans="1:3" ht="26.25">
      <c r="A33" s="70" t="str">
        <f ca="1">IFERROR(__xludf.DUMMYFUNCTION("""COMPUTED_VALUE"""),"AT.4.059")</f>
        <v>AT.4.059</v>
      </c>
      <c r="B33" s="68">
        <f ca="1">IFERROR(__xludf.DUMMYFUNCTION("""COMPUTED_VALUE"""),4)</f>
        <v>4</v>
      </c>
      <c r="C33" s="69" t="str">
        <f ca="1">IFERROR(__xludf.DUMMYFUNCTION("""COMPUTED_VALUE"""),"Provide awareness training focused on recognizing and responding to threats from social engineering, advanced persistent threat actors, breaches, and suspicious behaviors; update the training at least annually or when there are significant changes to the "&amp;"threat.")</f>
        <v>Provide awareness training focused on recognizing and responding to threats from social engineering, advanced persistent threat actors, breaches, and suspicious behaviors; update the training at least annually or when there are significant changes to the threat.</v>
      </c>
    </row>
    <row r="34" spans="1:3">
      <c r="A34" s="70" t="str">
        <f ca="1">IFERROR(__xludf.DUMMYFUNCTION("""COMPUTED_VALUE"""),"AT.4.060")</f>
        <v>AT.4.060</v>
      </c>
      <c r="B34" s="68">
        <f ca="1">IFERROR(__xludf.DUMMYFUNCTION("""COMPUTED_VALUE"""),4)</f>
        <v>4</v>
      </c>
      <c r="C34" s="69" t="str">
        <f ca="1">IFERROR(__xludf.DUMMYFUNCTION("""COMPUTED_VALUE"""),"Include practical exercises in awareness training that are aligned with current threat scenarios and provide feedback to individuals involved in the training.")</f>
        <v>Include practical exercises in awareness training that are aligned with current threat scenarios and provide feedback to individuals involved in the training.</v>
      </c>
    </row>
    <row r="35" spans="1:3">
      <c r="A35" s="68" t="str">
        <f ca="1">IFERROR(__xludf.DUMMYFUNCTION("QUERY(catalog, ""SELECT D, C, E WHERE B = 'AU' ORDER BY C, A"", 0)"),"AU.2.041")</f>
        <v>AU.2.041</v>
      </c>
      <c r="B35" s="68">
        <f ca="1">IFERROR(__xludf.DUMMYFUNCTION("""COMPUTED_VALUE"""),2)</f>
        <v>2</v>
      </c>
      <c r="C35" s="69" t="str">
        <f ca="1">IFERROR(__xludf.DUMMYFUNCTION("""COMPUTED_VALUE"""),"Ensure that the actions of individual system users can be uniquely traced to those users so they can be held accountable for their actions.")</f>
        <v>Ensure that the actions of individual system users can be uniquely traced to those users so they can be held accountable for their actions.</v>
      </c>
    </row>
    <row r="36" spans="1:3">
      <c r="A36" s="70" t="str">
        <f ca="1">IFERROR(__xludf.DUMMYFUNCTION("""COMPUTED_VALUE"""),"AU.2.042")</f>
        <v>AU.2.042</v>
      </c>
      <c r="B36" s="68">
        <f ca="1">IFERROR(__xludf.DUMMYFUNCTION("""COMPUTED_VALUE"""),2)</f>
        <v>2</v>
      </c>
      <c r="C36" s="69" t="str">
        <f ca="1">IFERROR(__xludf.DUMMYFUNCTION("""COMPUTED_VALUE"""),"Create and retain system audit logs and records to the extent needed to enable the monitoring, analysis, investigation, and reporting of unlawful or unauthorized system activity.")</f>
        <v>Create and retain system audit logs and records to the extent needed to enable the monitoring, analysis, investigation, and reporting of unlawful or unauthorized system activity.</v>
      </c>
    </row>
    <row r="37" spans="1:3">
      <c r="A37" s="70" t="str">
        <f ca="1">IFERROR(__xludf.DUMMYFUNCTION("""COMPUTED_VALUE"""),"AU.2.043")</f>
        <v>AU.2.043</v>
      </c>
      <c r="B37" s="68">
        <f ca="1">IFERROR(__xludf.DUMMYFUNCTION("""COMPUTED_VALUE"""),2)</f>
        <v>2</v>
      </c>
      <c r="C37" s="69" t="str">
        <f ca="1">IFERROR(__xludf.DUMMYFUNCTION("""COMPUTED_VALUE"""),"Provide a system capability that compares and synchronizes internal system clocks with an authoritative source to generate time stamps for audit records.")</f>
        <v>Provide a system capability that compares and synchronizes internal system clocks with an authoritative source to generate time stamps for audit records.</v>
      </c>
    </row>
    <row r="38" spans="1:3">
      <c r="A38" s="100" t="str">
        <f ca="1">IFERROR(__xludf.DUMMYFUNCTION("""COMPUTED_VALUE"""),"AU.2.044")</f>
        <v>AU.2.044</v>
      </c>
      <c r="B38" s="68">
        <f ca="1">IFERROR(__xludf.DUMMYFUNCTION("""COMPUTED_VALUE"""),2)</f>
        <v>2</v>
      </c>
      <c r="C38" s="69" t="str">
        <f ca="1">IFERROR(__xludf.DUMMYFUNCTION("""COMPUTED_VALUE"""),"Review audit logs.")</f>
        <v>Review audit logs.</v>
      </c>
    </row>
    <row r="39" spans="1:3">
      <c r="A39" s="70" t="str">
        <f ca="1">IFERROR(__xludf.DUMMYFUNCTION("""COMPUTED_VALUE"""),"AU.3.045")</f>
        <v>AU.3.045</v>
      </c>
      <c r="B39" s="68">
        <f ca="1">IFERROR(__xludf.DUMMYFUNCTION("""COMPUTED_VALUE"""),3)</f>
        <v>3</v>
      </c>
      <c r="C39" s="69" t="str">
        <f ca="1">IFERROR(__xludf.DUMMYFUNCTION("""COMPUTED_VALUE"""),"Review and update logged events.")</f>
        <v>Review and update logged events.</v>
      </c>
    </row>
    <row r="40" spans="1:3">
      <c r="A40" s="70" t="str">
        <f ca="1">IFERROR(__xludf.DUMMYFUNCTION("""COMPUTED_VALUE"""),"AU.3.046")</f>
        <v>AU.3.046</v>
      </c>
      <c r="B40" s="68">
        <f ca="1">IFERROR(__xludf.DUMMYFUNCTION("""COMPUTED_VALUE"""),3)</f>
        <v>3</v>
      </c>
      <c r="C40" s="69" t="str">
        <f ca="1">IFERROR(__xludf.DUMMYFUNCTION("""COMPUTED_VALUE"""),"Alert in the event of an audit logging process failure.")</f>
        <v>Alert in the event of an audit logging process failure.</v>
      </c>
    </row>
    <row r="41" spans="1:3">
      <c r="A41" s="100" t="str">
        <f ca="1">IFERROR(__xludf.DUMMYFUNCTION("""COMPUTED_VALUE"""),"AU.3.048")</f>
        <v>AU.3.048</v>
      </c>
      <c r="B41" s="68">
        <f ca="1">IFERROR(__xludf.DUMMYFUNCTION("""COMPUTED_VALUE"""),3)</f>
        <v>3</v>
      </c>
      <c r="C41" s="69" t="str">
        <f ca="1">IFERROR(__xludf.DUMMYFUNCTION("""COMPUTED_VALUE"""),"Collect audit information (e.g., logs) into one or more central repositories.")</f>
        <v>Collect audit information (e.g., logs) into one or more central repositories.</v>
      </c>
    </row>
    <row r="42" spans="1:3">
      <c r="A42" s="70" t="str">
        <f ca="1">IFERROR(__xludf.DUMMYFUNCTION("""COMPUTED_VALUE"""),"AU.3.049")</f>
        <v>AU.3.049</v>
      </c>
      <c r="B42" s="68">
        <f ca="1">IFERROR(__xludf.DUMMYFUNCTION("""COMPUTED_VALUE"""),3)</f>
        <v>3</v>
      </c>
      <c r="C42" s="69" t="str">
        <f ca="1">IFERROR(__xludf.DUMMYFUNCTION("""COMPUTED_VALUE"""),"Protect audit information and audit logging tools from unauthorized access, modification, and deletion.")</f>
        <v>Protect audit information and audit logging tools from unauthorized access, modification, and deletion.</v>
      </c>
    </row>
    <row r="43" spans="1:3">
      <c r="A43" s="70" t="str">
        <f ca="1">IFERROR(__xludf.DUMMYFUNCTION("""COMPUTED_VALUE"""),"AU.3.050")</f>
        <v>AU.3.050</v>
      </c>
      <c r="B43" s="68">
        <f ca="1">IFERROR(__xludf.DUMMYFUNCTION("""COMPUTED_VALUE"""),3)</f>
        <v>3</v>
      </c>
      <c r="C43" s="69" t="str">
        <f ca="1">IFERROR(__xludf.DUMMYFUNCTION("""COMPUTED_VALUE"""),"Limit management of audit logging functionality to a subset of privileged users.")</f>
        <v>Limit management of audit logging functionality to a subset of privileged users.</v>
      </c>
    </row>
    <row r="44" spans="1:3">
      <c r="A44" s="70" t="str">
        <f ca="1">IFERROR(__xludf.DUMMYFUNCTION("""COMPUTED_VALUE"""),"AU.3.051")</f>
        <v>AU.3.051</v>
      </c>
      <c r="B44" s="68">
        <f ca="1">IFERROR(__xludf.DUMMYFUNCTION("""COMPUTED_VALUE"""),3)</f>
        <v>3</v>
      </c>
      <c r="C44" s="69" t="str">
        <f ca="1">IFERROR(__xludf.DUMMYFUNCTION("""COMPUTED_VALUE"""),"Correlate audit record review, analysis, and reporting processes for investigation and response to indications of unlawful, unauthorized, suspicious, or unusual activity.")</f>
        <v>Correlate audit record review, analysis, and reporting processes for investigation and response to indications of unlawful, unauthorized, suspicious, or unusual activity.</v>
      </c>
    </row>
    <row r="45" spans="1:3">
      <c r="A45" s="70" t="str">
        <f ca="1">IFERROR(__xludf.DUMMYFUNCTION("""COMPUTED_VALUE"""),"AU.3.052")</f>
        <v>AU.3.052</v>
      </c>
      <c r="B45" s="68">
        <f ca="1">IFERROR(__xludf.DUMMYFUNCTION("""COMPUTED_VALUE"""),3)</f>
        <v>3</v>
      </c>
      <c r="C45" s="69" t="str">
        <f ca="1">IFERROR(__xludf.DUMMYFUNCTION("""COMPUTED_VALUE"""),"Provide audit record reduction and report generation to support on-demand analysis and reporting.")</f>
        <v>Provide audit record reduction and report generation to support on-demand analysis and reporting.</v>
      </c>
    </row>
    <row r="46" spans="1:3">
      <c r="A46" s="70" t="str">
        <f ca="1">IFERROR(__xludf.DUMMYFUNCTION("""COMPUTED_VALUE"""),"AU.4.053")</f>
        <v>AU.4.053</v>
      </c>
      <c r="B46" s="68">
        <f ca="1">IFERROR(__xludf.DUMMYFUNCTION("""COMPUTED_VALUE"""),4)</f>
        <v>4</v>
      </c>
      <c r="C46" s="69" t="str">
        <f ca="1">IFERROR(__xludf.DUMMYFUNCTION("""COMPUTED_VALUE"""),"Automate analysis of audit logs to identify and act on critical indicators (TTPs) and/or organizationally defined suspicious activity.")</f>
        <v>Automate analysis of audit logs to identify and act on critical indicators (TTPs) and/or organizationally defined suspicious activity.</v>
      </c>
    </row>
    <row r="47" spans="1:3">
      <c r="A47" s="70" t="str">
        <f ca="1">IFERROR(__xludf.DUMMYFUNCTION("""COMPUTED_VALUE"""),"AU.4.054")</f>
        <v>AU.4.054</v>
      </c>
      <c r="B47" s="68">
        <f ca="1">IFERROR(__xludf.DUMMYFUNCTION("""COMPUTED_VALUE"""),4)</f>
        <v>4</v>
      </c>
      <c r="C47" s="69" t="str">
        <f ca="1">IFERROR(__xludf.DUMMYFUNCTION("""COMPUTED_VALUE"""),"Review audit information for broad activity in addition to per-machine activity.")</f>
        <v>Review audit information for broad activity in addition to per-machine activity.</v>
      </c>
    </row>
    <row r="48" spans="1:3">
      <c r="A48" s="70" t="str">
        <f ca="1">IFERROR(__xludf.DUMMYFUNCTION("""COMPUTED_VALUE"""),"AU.5.055")</f>
        <v>AU.5.055</v>
      </c>
      <c r="B48" s="68">
        <f ca="1">IFERROR(__xludf.DUMMYFUNCTION("""COMPUTED_VALUE"""),5)</f>
        <v>5</v>
      </c>
      <c r="C48" s="69" t="str">
        <f ca="1">IFERROR(__xludf.DUMMYFUNCTION("""COMPUTED_VALUE"""),"Identify assets not reporting audit logs and assure appropriate organizationally defined systems are logging.")</f>
        <v>Identify assets not reporting audit logs and assure appropriate organizationally defined systems are logging.</v>
      </c>
    </row>
    <row r="49" spans="1:3" ht="26.25">
      <c r="A49" s="68" t="str">
        <f ca="1">IFERROR(__xludf.DUMMYFUNCTION("QUERY(catalog, ""SELECT D, C, E WHERE B = 'CA' ORDER BY C, A"", 0)"),"CA.2.157")</f>
        <v>CA.2.157</v>
      </c>
      <c r="B49" s="68">
        <f ca="1">IFERROR(__xludf.DUMMYFUNCTION("""COMPUTED_VALUE"""),2)</f>
        <v>2</v>
      </c>
      <c r="C49" s="69" t="str">
        <f ca="1">IFERROR(__xludf.DUMMYFUNCTION("""COMPUTED_VALUE"""),"Develop, document, and periodically update system security plans that describe system boundaries, system environments of operation, how security requirements are implemented, and the relationships with or connections to other systems.")</f>
        <v>Develop, document, and periodically update system security plans that describe system boundaries, system environments of operation, how security requirements are implemented, and the relationships with or connections to other systems.</v>
      </c>
    </row>
    <row r="50" spans="1:3">
      <c r="A50" s="70" t="str">
        <f ca="1">IFERROR(__xludf.DUMMYFUNCTION("""COMPUTED_VALUE"""),"CA.2.158")</f>
        <v>CA.2.158</v>
      </c>
      <c r="B50" s="68">
        <f ca="1">IFERROR(__xludf.DUMMYFUNCTION("""COMPUTED_VALUE"""),2)</f>
        <v>2</v>
      </c>
      <c r="C50" s="69" t="str">
        <f ca="1">IFERROR(__xludf.DUMMYFUNCTION("""COMPUTED_VALUE"""),"Periodically assess the security controls in organizational systems to determine if the controls are effective in their application.")</f>
        <v>Periodically assess the security controls in organizational systems to determine if the controls are effective in their application.</v>
      </c>
    </row>
    <row r="51" spans="1:3">
      <c r="A51" s="70" t="str">
        <f ca="1">IFERROR(__xludf.DUMMYFUNCTION("""COMPUTED_VALUE"""),"CA.2.159")</f>
        <v>CA.2.159</v>
      </c>
      <c r="B51" s="68">
        <f ca="1">IFERROR(__xludf.DUMMYFUNCTION("""COMPUTED_VALUE"""),2)</f>
        <v>2</v>
      </c>
      <c r="C51" s="69" t="str">
        <f ca="1">IFERROR(__xludf.DUMMYFUNCTION("""COMPUTED_VALUE"""),"Develop and implement plans of action designed to correct deficiencies and reduce or eliminate vulnerabilities in organizational systems.")</f>
        <v>Develop and implement plans of action designed to correct deficiencies and reduce or eliminate vulnerabilities in organizational systems.</v>
      </c>
    </row>
    <row r="52" spans="1:3">
      <c r="A52" s="70" t="str">
        <f ca="1">IFERROR(__xludf.DUMMYFUNCTION("""COMPUTED_VALUE"""),"CA.3.161")</f>
        <v>CA.3.161</v>
      </c>
      <c r="B52" s="68">
        <f ca="1">IFERROR(__xludf.DUMMYFUNCTION("""COMPUTED_VALUE"""),3)</f>
        <v>3</v>
      </c>
      <c r="C52" s="69" t="str">
        <f ca="1">IFERROR(__xludf.DUMMYFUNCTION("""COMPUTED_VALUE"""),"Monitor security controls on an ongoing basis to ensure the continued effectiveness of the controls.")</f>
        <v>Monitor security controls on an ongoing basis to ensure the continued effectiveness of the controls.</v>
      </c>
    </row>
    <row r="53" spans="1:3">
      <c r="A53" s="100" t="str">
        <f ca="1">IFERROR(__xludf.DUMMYFUNCTION("""COMPUTED_VALUE"""),"CA.3.162")</f>
        <v>CA.3.162</v>
      </c>
      <c r="B53" s="68">
        <f ca="1">IFERROR(__xludf.DUMMYFUNCTION("""COMPUTED_VALUE"""),3)</f>
        <v>3</v>
      </c>
      <c r="C53" s="69" t="str">
        <f ca="1">IFERROR(__xludf.DUMMYFUNCTION("""COMPUTED_VALUE"""),"Employ a security assessment of enterprise software that has been developed internally, for internal use, and that has been organizationally defined as an area of risk.")</f>
        <v>Employ a security assessment of enterprise software that has been developed internally, for internal use, and that has been organizationally defined as an area of risk.</v>
      </c>
    </row>
    <row r="54" spans="1:3">
      <c r="A54" s="70" t="str">
        <f ca="1">IFERROR(__xludf.DUMMYFUNCTION("""COMPUTED_VALUE"""),"CA.4.163")</f>
        <v>CA.4.163</v>
      </c>
      <c r="B54" s="68">
        <f ca="1">IFERROR(__xludf.DUMMYFUNCTION("""COMPUTED_VALUE"""),4)</f>
        <v>4</v>
      </c>
      <c r="C54" s="69" t="str">
        <f ca="1">IFERROR(__xludf.DUMMYFUNCTION("""COMPUTED_VALUE"""),"Create, maintain, and leverage a security strategy and roadmap for organizational cybersecurity improvement.")</f>
        <v>Create, maintain, and leverage a security strategy and roadmap for organizational cybersecurity improvement.</v>
      </c>
    </row>
    <row r="55" spans="1:3">
      <c r="A55" s="70" t="str">
        <f ca="1">IFERROR(__xludf.DUMMYFUNCTION("""COMPUTED_VALUE"""),"CA.4.164")</f>
        <v>CA.4.164</v>
      </c>
      <c r="B55" s="68">
        <f ca="1">IFERROR(__xludf.DUMMYFUNCTION("""COMPUTED_VALUE"""),4)</f>
        <v>4</v>
      </c>
      <c r="C55" s="69" t="str">
        <f ca="1">IFERROR(__xludf.DUMMYFUNCTION("""COMPUTED_VALUE"""),"Conduct penetration testing periodically, leveraging automated scanning tools and ad hoc tests using human experts.")</f>
        <v>Conduct penetration testing periodically, leveraging automated scanning tools and ad hoc tests using human experts.</v>
      </c>
    </row>
    <row r="56" spans="1:3">
      <c r="A56" s="70" t="str">
        <f ca="1">IFERROR(__xludf.DUMMYFUNCTION("""COMPUTED_VALUE"""),"CA.4.227")</f>
        <v>CA.4.227</v>
      </c>
      <c r="B56" s="68">
        <f ca="1">IFERROR(__xludf.DUMMYFUNCTION("""COMPUTED_VALUE"""),4)</f>
        <v>4</v>
      </c>
      <c r="C56" s="69" t="str">
        <f ca="1">IFERROR(__xludf.DUMMYFUNCTION("""COMPUTED_VALUE"""),"Periodically perform red teaming against organizational assets in order to validate defensive capabilities.")</f>
        <v>Periodically perform red teaming against organizational assets in order to validate defensive capabilities.</v>
      </c>
    </row>
    <row r="57" spans="1:3" ht="26.25">
      <c r="A57" s="68" t="str">
        <f ca="1">IFERROR(__xludf.DUMMYFUNCTION("QUERY(catalog, ""SELECT D, C, E WHERE B = 'CM' ORDER BY C, A"", 0)"),"CM.2.061")</f>
        <v>CM.2.061</v>
      </c>
      <c r="B57" s="68">
        <f ca="1">IFERROR(__xludf.DUMMYFUNCTION("""COMPUTED_VALUE"""),2)</f>
        <v>2</v>
      </c>
      <c r="C57" s="69" t="str">
        <f ca="1">IFERROR(__xludf.DUMMYFUNCTION("""COMPUTED_VALUE"""),"Establish and maintain baseline configurations and inventories of organizational systems (including hardware, software, firmware, and documentation) throughout the respective system development life cycles.")</f>
        <v>Establish and maintain baseline configurations and inventories of organizational systems (including hardware, software, firmware, and documentation) throughout the respective system development life cycles.</v>
      </c>
    </row>
    <row r="58" spans="1:3">
      <c r="A58" s="102" t="str">
        <f ca="1">IFERROR(__xludf.DUMMYFUNCTION("""COMPUTED_VALUE"""),"CM.2.062")</f>
        <v>CM.2.062</v>
      </c>
      <c r="B58" s="68">
        <f ca="1">IFERROR(__xludf.DUMMYFUNCTION("""COMPUTED_VALUE"""),2)</f>
        <v>2</v>
      </c>
      <c r="C58" s="69" t="str">
        <f ca="1">IFERROR(__xludf.DUMMYFUNCTION("""COMPUTED_VALUE"""),"Employ the principle of least functionality by configuring organizational systems to provide only essential capabilities.")</f>
        <v>Employ the principle of least functionality by configuring organizational systems to provide only essential capabilities.</v>
      </c>
    </row>
    <row r="59" spans="1:3">
      <c r="A59" s="70" t="str">
        <f ca="1">IFERROR(__xludf.DUMMYFUNCTION("""COMPUTED_VALUE"""),"CM.2.063")</f>
        <v>CM.2.063</v>
      </c>
      <c r="B59" s="68">
        <f ca="1">IFERROR(__xludf.DUMMYFUNCTION("""COMPUTED_VALUE"""),2)</f>
        <v>2</v>
      </c>
      <c r="C59" s="69" t="str">
        <f ca="1">IFERROR(__xludf.DUMMYFUNCTION("""COMPUTED_VALUE"""),"Control and monitor user-installed software.")</f>
        <v>Control and monitor user-installed software.</v>
      </c>
    </row>
    <row r="60" spans="1:3">
      <c r="A60" s="70" t="str">
        <f ca="1">IFERROR(__xludf.DUMMYFUNCTION("""COMPUTED_VALUE"""),"CM.2.064")</f>
        <v>CM.2.064</v>
      </c>
      <c r="B60" s="68">
        <f ca="1">IFERROR(__xludf.DUMMYFUNCTION("""COMPUTED_VALUE"""),2)</f>
        <v>2</v>
      </c>
      <c r="C60" s="69" t="str">
        <f ca="1">IFERROR(__xludf.DUMMYFUNCTION("""COMPUTED_VALUE"""),"Establish and enforce security configuration settings for information technology products employed in organizational systems.")</f>
        <v>Establish and enforce security configuration settings for information technology products employed in organizational systems.</v>
      </c>
    </row>
    <row r="61" spans="1:3">
      <c r="A61" s="70" t="str">
        <f ca="1">IFERROR(__xludf.DUMMYFUNCTION("""COMPUTED_VALUE"""),"CM.2.065")</f>
        <v>CM.2.065</v>
      </c>
      <c r="B61" s="68">
        <f ca="1">IFERROR(__xludf.DUMMYFUNCTION("""COMPUTED_VALUE"""),2)</f>
        <v>2</v>
      </c>
      <c r="C61" s="69" t="str">
        <f ca="1">IFERROR(__xludf.DUMMYFUNCTION("""COMPUTED_VALUE"""),"Track, review, approve, or disapprove, and log changes to organizational systems.")</f>
        <v>Track, review, approve, or disapprove, and log changes to organizational systems.</v>
      </c>
    </row>
    <row r="62" spans="1:3">
      <c r="A62" s="70" t="str">
        <f ca="1">IFERROR(__xludf.DUMMYFUNCTION("""COMPUTED_VALUE"""),"CM.2.066")</f>
        <v>CM.2.066</v>
      </c>
      <c r="B62" s="68">
        <f ca="1">IFERROR(__xludf.DUMMYFUNCTION("""COMPUTED_VALUE"""),2)</f>
        <v>2</v>
      </c>
      <c r="C62" s="69" t="str">
        <f ca="1">IFERROR(__xludf.DUMMYFUNCTION("""COMPUTED_VALUE"""),"Analyze the security impact of changes prior to implementation.")</f>
        <v>Analyze the security impact of changes prior to implementation.</v>
      </c>
    </row>
    <row r="63" spans="1:3">
      <c r="A63" s="70" t="str">
        <f ca="1">IFERROR(__xludf.DUMMYFUNCTION("""COMPUTED_VALUE"""),"CM.3.067")</f>
        <v>CM.3.067</v>
      </c>
      <c r="B63" s="68">
        <f ca="1">IFERROR(__xludf.DUMMYFUNCTION("""COMPUTED_VALUE"""),3)</f>
        <v>3</v>
      </c>
      <c r="C63" s="69" t="str">
        <f ca="1">IFERROR(__xludf.DUMMYFUNCTION("""COMPUTED_VALUE"""),"Define, document, approve, and enforce physical and logical access restrictions associated with changes to organizational systems.")</f>
        <v>Define, document, approve, and enforce physical and logical access restrictions associated with changes to organizational systems.</v>
      </c>
    </row>
    <row r="64" spans="1:3">
      <c r="A64" s="70" t="str">
        <f ca="1">IFERROR(__xludf.DUMMYFUNCTION("""COMPUTED_VALUE"""),"CM.3.068")</f>
        <v>CM.3.068</v>
      </c>
      <c r="B64" s="68">
        <f ca="1">IFERROR(__xludf.DUMMYFUNCTION("""COMPUTED_VALUE"""),3)</f>
        <v>3</v>
      </c>
      <c r="C64" s="69" t="str">
        <f ca="1">IFERROR(__xludf.DUMMYFUNCTION("""COMPUTED_VALUE"""),"Restrict, disable, or prevent the use of nonessential programs, functions, ports, protocols, and services.")</f>
        <v>Restrict, disable, or prevent the use of nonessential programs, functions, ports, protocols, and services.</v>
      </c>
    </row>
    <row r="65" spans="1:3">
      <c r="A65" s="70" t="str">
        <f ca="1">IFERROR(__xludf.DUMMYFUNCTION("""COMPUTED_VALUE"""),"CM.3.069")</f>
        <v>CM.3.069</v>
      </c>
      <c r="B65" s="68">
        <f ca="1">IFERROR(__xludf.DUMMYFUNCTION("""COMPUTED_VALUE"""),3)</f>
        <v>3</v>
      </c>
      <c r="C65" s="69" t="str">
        <f ca="1">IFERROR(__xludf.DUMMYFUNCTION("""COMPUTED_VALUE"""),"Apply deny-by-exception (blacklisting) policy to prevent the use of unauthorized software or denyall, permit-by-exception (whitelisting) policy to allow the execution of authorized software.")</f>
        <v>Apply deny-by-exception (blacklisting) policy to prevent the use of unauthorized software or denyall, permit-by-exception (whitelisting) policy to allow the execution of authorized software.</v>
      </c>
    </row>
    <row r="66" spans="1:3">
      <c r="A66" s="70" t="str">
        <f ca="1">IFERROR(__xludf.DUMMYFUNCTION("""COMPUTED_VALUE"""),"CM.4.073")</f>
        <v>CM.4.073</v>
      </c>
      <c r="B66" s="68">
        <f ca="1">IFERROR(__xludf.DUMMYFUNCTION("""COMPUTED_VALUE"""),4)</f>
        <v>4</v>
      </c>
      <c r="C66" s="69" t="str">
        <f ca="1">IFERROR(__xludf.DUMMYFUNCTION("""COMPUTED_VALUE"""),"Employ application whitelisting and an application vetting process for systems identified by the organization.")</f>
        <v>Employ application whitelisting and an application vetting process for systems identified by the organization.</v>
      </c>
    </row>
    <row r="67" spans="1:3">
      <c r="A67" s="70" t="str">
        <f ca="1">IFERROR(__xludf.DUMMYFUNCTION("""COMPUTED_VALUE"""),"CM.5.074")</f>
        <v>CM.5.074</v>
      </c>
      <c r="B67" s="68">
        <f ca="1">IFERROR(__xludf.DUMMYFUNCTION("""COMPUTED_VALUE"""),5)</f>
        <v>5</v>
      </c>
      <c r="C67" s="69" t="str">
        <f ca="1">IFERROR(__xludf.DUMMYFUNCTION("""COMPUTED_VALUE"""),"Verify the integrity and correctness of security critical or essential software as defined by the organization (e.g., roots of trust, formal verification, or cryptographic signatures).")</f>
        <v>Verify the integrity and correctness of security critical or essential software as defined by the organization (e.g., roots of trust, formal verification, or cryptographic signatures).</v>
      </c>
    </row>
    <row r="68" spans="1:3">
      <c r="A68" s="68" t="str">
        <f ca="1">IFERROR(__xludf.DUMMYFUNCTION("QUERY(catalog, ""SELECT D, C, E WHERE B = 'IA' ORDER BY C, A"", 0)"),"IA.1.076")</f>
        <v>IA.1.076</v>
      </c>
      <c r="B68" s="68">
        <f ca="1">IFERROR(__xludf.DUMMYFUNCTION("""COMPUTED_VALUE"""),1)</f>
        <v>1</v>
      </c>
      <c r="C68" s="69" t="str">
        <f ca="1">IFERROR(__xludf.DUMMYFUNCTION("""COMPUTED_VALUE"""),"Identify information system users, processes acting on behalf of users, or devices.")</f>
        <v>Identify information system users, processes acting on behalf of users, or devices.</v>
      </c>
    </row>
    <row r="69" spans="1:3">
      <c r="A69" s="70" t="str">
        <f ca="1">IFERROR(__xludf.DUMMYFUNCTION("""COMPUTED_VALUE"""),"IA.1.077")</f>
        <v>IA.1.077</v>
      </c>
      <c r="B69" s="68">
        <f ca="1">IFERROR(__xludf.DUMMYFUNCTION("""COMPUTED_VALUE"""),1)</f>
        <v>1</v>
      </c>
      <c r="C69" s="69" t="str">
        <f ca="1">IFERROR(__xludf.DUMMYFUNCTION("""COMPUTED_VALUE"""),"Authenticate (or verify) the identities of those users, processes, or devices, as a prerequisite to allowing access to organizational information systems.")</f>
        <v>Authenticate (or verify) the identities of those users, processes, or devices, as a prerequisite to allowing access to organizational information systems.</v>
      </c>
    </row>
    <row r="70" spans="1:3">
      <c r="A70" s="70" t="str">
        <f ca="1">IFERROR(__xludf.DUMMYFUNCTION("""COMPUTED_VALUE"""),"IA.2.078")</f>
        <v>IA.2.078</v>
      </c>
      <c r="B70" s="68">
        <f ca="1">IFERROR(__xludf.DUMMYFUNCTION("""COMPUTED_VALUE"""),2)</f>
        <v>2</v>
      </c>
      <c r="C70" s="69" t="str">
        <f ca="1">IFERROR(__xludf.DUMMYFUNCTION("""COMPUTED_VALUE"""),"Enforce a minimum password complexity and change of characters when new passwords are created.")</f>
        <v>Enforce a minimum password complexity and change of characters when new passwords are created.</v>
      </c>
    </row>
    <row r="71" spans="1:3">
      <c r="A71" s="70" t="str">
        <f ca="1">IFERROR(__xludf.DUMMYFUNCTION("""COMPUTED_VALUE"""),"IA.2.079")</f>
        <v>IA.2.079</v>
      </c>
      <c r="B71" s="68">
        <f ca="1">IFERROR(__xludf.DUMMYFUNCTION("""COMPUTED_VALUE"""),2)</f>
        <v>2</v>
      </c>
      <c r="C71" s="69" t="str">
        <f ca="1">IFERROR(__xludf.DUMMYFUNCTION("""COMPUTED_VALUE"""),"Prohibit password reuse for a specified number of generations.")</f>
        <v>Prohibit password reuse for a specified number of generations.</v>
      </c>
    </row>
    <row r="72" spans="1:3">
      <c r="A72" s="70" t="str">
        <f ca="1">IFERROR(__xludf.DUMMYFUNCTION("""COMPUTED_VALUE"""),"IA.2.080")</f>
        <v>IA.2.080</v>
      </c>
      <c r="B72" s="68">
        <f ca="1">IFERROR(__xludf.DUMMYFUNCTION("""COMPUTED_VALUE"""),2)</f>
        <v>2</v>
      </c>
      <c r="C72" s="69" t="str">
        <f ca="1">IFERROR(__xludf.DUMMYFUNCTION("""COMPUTED_VALUE"""),"Allow temporary password use for system logons with an immediate change to a permanent password.")</f>
        <v>Allow temporary password use for system logons with an immediate change to a permanent password.</v>
      </c>
    </row>
    <row r="73" spans="1:3">
      <c r="A73" s="70" t="str">
        <f ca="1">IFERROR(__xludf.DUMMYFUNCTION("""COMPUTED_VALUE"""),"IA.2.081")</f>
        <v>IA.2.081</v>
      </c>
      <c r="B73" s="68">
        <f ca="1">IFERROR(__xludf.DUMMYFUNCTION("""COMPUTED_VALUE"""),2)</f>
        <v>2</v>
      </c>
      <c r="C73" s="69" t="str">
        <f ca="1">IFERROR(__xludf.DUMMYFUNCTION("""COMPUTED_VALUE"""),"Store and transmit only cryptographically-protected passwords.")</f>
        <v>Store and transmit only cryptographically-protected passwords.</v>
      </c>
    </row>
    <row r="74" spans="1:3">
      <c r="A74" s="70" t="str">
        <f ca="1">IFERROR(__xludf.DUMMYFUNCTION("""COMPUTED_VALUE"""),"IA.2.082")</f>
        <v>IA.2.082</v>
      </c>
      <c r="B74" s="68">
        <f ca="1">IFERROR(__xludf.DUMMYFUNCTION("""COMPUTED_VALUE"""),2)</f>
        <v>2</v>
      </c>
      <c r="C74" s="69" t="str">
        <f ca="1">IFERROR(__xludf.DUMMYFUNCTION("""COMPUTED_VALUE"""),"Obscure feedback of authentication information.")</f>
        <v>Obscure feedback of authentication information.</v>
      </c>
    </row>
    <row r="75" spans="1:3">
      <c r="A75" s="70" t="str">
        <f ca="1">IFERROR(__xludf.DUMMYFUNCTION("""COMPUTED_VALUE"""),"IA.3.083")</f>
        <v>IA.3.083</v>
      </c>
      <c r="B75" s="68">
        <f ca="1">IFERROR(__xludf.DUMMYFUNCTION("""COMPUTED_VALUE"""),3)</f>
        <v>3</v>
      </c>
      <c r="C75" s="69" t="str">
        <f ca="1">IFERROR(__xludf.DUMMYFUNCTION("""COMPUTED_VALUE"""),"Use multifactor authentication for local and network access to privileged accounts and for network access to non-privileged accounts.")</f>
        <v>Use multifactor authentication for local and network access to privileged accounts and for network access to non-privileged accounts.</v>
      </c>
    </row>
    <row r="76" spans="1:3">
      <c r="A76" s="70" t="str">
        <f ca="1">IFERROR(__xludf.DUMMYFUNCTION("""COMPUTED_VALUE"""),"IA.3.084")</f>
        <v>IA.3.084</v>
      </c>
      <c r="B76" s="68">
        <f ca="1">IFERROR(__xludf.DUMMYFUNCTION("""COMPUTED_VALUE"""),3)</f>
        <v>3</v>
      </c>
      <c r="C76" s="69" t="str">
        <f ca="1">IFERROR(__xludf.DUMMYFUNCTION("""COMPUTED_VALUE"""),"Employ replay-resistant authentication mechanisms for network access to privileged and nonprivileged accounts.")</f>
        <v>Employ replay-resistant authentication mechanisms for network access to privileged and nonprivileged accounts.</v>
      </c>
    </row>
    <row r="77" spans="1:3">
      <c r="A77" s="70" t="str">
        <f ca="1">IFERROR(__xludf.DUMMYFUNCTION("""COMPUTED_VALUE"""),"IA.3.085")</f>
        <v>IA.3.085</v>
      </c>
      <c r="B77" s="68">
        <f ca="1">IFERROR(__xludf.DUMMYFUNCTION("""COMPUTED_VALUE"""),3)</f>
        <v>3</v>
      </c>
      <c r="C77" s="69" t="str">
        <f ca="1">IFERROR(__xludf.DUMMYFUNCTION("""COMPUTED_VALUE"""),"Prevent the reuse of identifiers for a defined period.")</f>
        <v>Prevent the reuse of identifiers for a defined period.</v>
      </c>
    </row>
    <row r="78" spans="1:3">
      <c r="A78" s="70" t="str">
        <f ca="1">IFERROR(__xludf.DUMMYFUNCTION("""COMPUTED_VALUE"""),"IA.3.086")</f>
        <v>IA.3.086</v>
      </c>
      <c r="B78" s="68">
        <f ca="1">IFERROR(__xludf.DUMMYFUNCTION("""COMPUTED_VALUE"""),3)</f>
        <v>3</v>
      </c>
      <c r="C78" s="69" t="str">
        <f ca="1">IFERROR(__xludf.DUMMYFUNCTION("""COMPUTED_VALUE"""),"Disable identifiers after a defined period of inactivity.")</f>
        <v>Disable identifiers after a defined period of inactivity.</v>
      </c>
    </row>
    <row r="79" spans="1:3">
      <c r="A79" s="68" t="str">
        <f ca="1">IFERROR(__xludf.DUMMYFUNCTION("QUERY(catalog, ""SELECT D, C, E WHERE B = 'IR' ORDER BY C, A"", 0)"),"IR.2.092")</f>
        <v>IR.2.092</v>
      </c>
      <c r="B79" s="68">
        <f ca="1">IFERROR(__xludf.DUMMYFUNCTION("""COMPUTED_VALUE"""),2)</f>
        <v>2</v>
      </c>
      <c r="C79" s="69" t="str">
        <f ca="1">IFERROR(__xludf.DUMMYFUNCTION("""COMPUTED_VALUE"""),"Establish an operational incident-handling capability for organizational systems that includes preparation, detection, analysis, containment, recovery, and user response activities.")</f>
        <v>Establish an operational incident-handling capability for organizational systems that includes preparation, detection, analysis, containment, recovery, and user response activities.</v>
      </c>
    </row>
    <row r="80" spans="1:3">
      <c r="A80" s="100" t="str">
        <f ca="1">IFERROR(__xludf.DUMMYFUNCTION("""COMPUTED_VALUE"""),"IR.2.093")</f>
        <v>IR.2.093</v>
      </c>
      <c r="B80" s="68">
        <f ca="1">IFERROR(__xludf.DUMMYFUNCTION("""COMPUTED_VALUE"""),2)</f>
        <v>2</v>
      </c>
      <c r="C80" s="69" t="str">
        <f ca="1">IFERROR(__xludf.DUMMYFUNCTION("""COMPUTED_VALUE"""),"Detect and report events.")</f>
        <v>Detect and report events.</v>
      </c>
    </row>
    <row r="81" spans="1:3">
      <c r="A81" s="100" t="str">
        <f ca="1">IFERROR(__xludf.DUMMYFUNCTION("""COMPUTED_VALUE"""),"IR.2.094")</f>
        <v>IR.2.094</v>
      </c>
      <c r="B81" s="68">
        <f ca="1">IFERROR(__xludf.DUMMYFUNCTION("""COMPUTED_VALUE"""),2)</f>
        <v>2</v>
      </c>
      <c r="C81" s="69" t="str">
        <f ca="1">IFERROR(__xludf.DUMMYFUNCTION("""COMPUTED_VALUE"""),"Analyze and triage events to support event resolution and incident declaration.")</f>
        <v>Analyze and triage events to support event resolution and incident declaration.</v>
      </c>
    </row>
    <row r="82" spans="1:3">
      <c r="A82" s="100" t="str">
        <f ca="1">IFERROR(__xludf.DUMMYFUNCTION("""COMPUTED_VALUE"""),"IR.2.096")</f>
        <v>IR.2.096</v>
      </c>
      <c r="B82" s="68">
        <f ca="1">IFERROR(__xludf.DUMMYFUNCTION("""COMPUTED_VALUE"""),2)</f>
        <v>2</v>
      </c>
      <c r="C82" s="69" t="str">
        <f ca="1">IFERROR(__xludf.DUMMYFUNCTION("""COMPUTED_VALUE"""),"Develop and implement responses to declared incidents according to pre-defined procedures.")</f>
        <v>Develop and implement responses to declared incidents according to pre-defined procedures.</v>
      </c>
    </row>
    <row r="83" spans="1:3">
      <c r="A83" s="100" t="str">
        <f ca="1">IFERROR(__xludf.DUMMYFUNCTION("""COMPUTED_VALUE"""),"IR.2.097")</f>
        <v>IR.2.097</v>
      </c>
      <c r="B83" s="68">
        <f ca="1">IFERROR(__xludf.DUMMYFUNCTION("""COMPUTED_VALUE"""),2)</f>
        <v>2</v>
      </c>
      <c r="C83" s="69" t="str">
        <f ca="1">IFERROR(__xludf.DUMMYFUNCTION("""COMPUTED_VALUE"""),"Perform root cause analysis on incidents to determine underlying causes.")</f>
        <v>Perform root cause analysis on incidents to determine underlying causes.</v>
      </c>
    </row>
    <row r="84" spans="1:3">
      <c r="A84" s="70" t="str">
        <f ca="1">IFERROR(__xludf.DUMMYFUNCTION("""COMPUTED_VALUE"""),"IR.3.098")</f>
        <v>IR.3.098</v>
      </c>
      <c r="B84" s="68">
        <f ca="1">IFERROR(__xludf.DUMMYFUNCTION("""COMPUTED_VALUE"""),3)</f>
        <v>3</v>
      </c>
      <c r="C84" s="69" t="str">
        <f ca="1">IFERROR(__xludf.DUMMYFUNCTION("""COMPUTED_VALUE"""),"Track, document, and report incidents to designated officials and/or authorities both internal and external to the organization.")</f>
        <v>Track, document, and report incidents to designated officials and/or authorities both internal and external to the organization.</v>
      </c>
    </row>
    <row r="85" spans="1:3">
      <c r="A85" s="70" t="str">
        <f ca="1">IFERROR(__xludf.DUMMYFUNCTION("""COMPUTED_VALUE"""),"IR.3.099")</f>
        <v>IR.3.099</v>
      </c>
      <c r="B85" s="68">
        <f ca="1">IFERROR(__xludf.DUMMYFUNCTION("""COMPUTED_VALUE"""),3)</f>
        <v>3</v>
      </c>
      <c r="C85" s="69" t="str">
        <f ca="1">IFERROR(__xludf.DUMMYFUNCTION("""COMPUTED_VALUE"""),"Test the organizational incident response capability.")</f>
        <v>Test the organizational incident response capability.</v>
      </c>
    </row>
    <row r="86" spans="1:3">
      <c r="A86" s="70" t="str">
        <f ca="1">IFERROR(__xludf.DUMMYFUNCTION("""COMPUTED_VALUE"""),"IR.4.100")</f>
        <v>IR.4.100</v>
      </c>
      <c r="B86" s="68">
        <f ca="1">IFERROR(__xludf.DUMMYFUNCTION("""COMPUTED_VALUE"""),4)</f>
        <v>4</v>
      </c>
      <c r="C86" s="69" t="str">
        <f ca="1">IFERROR(__xludf.DUMMYFUNCTION("""COMPUTED_VALUE"""),"Use knowledge of attacker tactics, techniques, and procedures in incident response planning and execution.")</f>
        <v>Use knowledge of attacker tactics, techniques, and procedures in incident response planning and execution.</v>
      </c>
    </row>
    <row r="87" spans="1:3">
      <c r="A87" s="70" t="str">
        <f ca="1">IFERROR(__xludf.DUMMYFUNCTION("""COMPUTED_VALUE"""),"IR.4.101")</f>
        <v>IR.4.101</v>
      </c>
      <c r="B87" s="68">
        <f ca="1">IFERROR(__xludf.DUMMYFUNCTION("""COMPUTED_VALUE"""),4)</f>
        <v>4</v>
      </c>
      <c r="C87" s="69" t="str">
        <f ca="1">IFERROR(__xludf.DUMMYFUNCTION("""COMPUTED_VALUE"""),"Establish and maintain a security operations center capability that facilitates a 24/7 response capability.")</f>
        <v>Establish and maintain a security operations center capability that facilitates a 24/7 response capability.</v>
      </c>
    </row>
    <row r="88" spans="1:3">
      <c r="A88" s="70" t="str">
        <f ca="1">IFERROR(__xludf.DUMMYFUNCTION("""COMPUTED_VALUE"""),"IR.5.102")</f>
        <v>IR.5.102</v>
      </c>
      <c r="B88" s="68">
        <f ca="1">IFERROR(__xludf.DUMMYFUNCTION("""COMPUTED_VALUE"""),5)</f>
        <v>5</v>
      </c>
      <c r="C88" s="69" t="str">
        <f ca="1">IFERROR(__xludf.DUMMYFUNCTION("""COMPUTED_VALUE"""),"Use a combination of manual and automated, real-time responses to anomalous activities that match incident patterns.")</f>
        <v>Use a combination of manual and automated, real-time responses to anomalous activities that match incident patterns.</v>
      </c>
    </row>
    <row r="89" spans="1:3">
      <c r="A89" s="70" t="str">
        <f ca="1">IFERROR(__xludf.DUMMYFUNCTION("""COMPUTED_VALUE"""),"IR.5.106")</f>
        <v>IR.5.106</v>
      </c>
      <c r="B89" s="68">
        <f ca="1">IFERROR(__xludf.DUMMYFUNCTION("""COMPUTED_VALUE"""),5)</f>
        <v>5</v>
      </c>
      <c r="C89" s="69" t="str">
        <f ca="1">IFERROR(__xludf.DUMMYFUNCTION("""COMPUTED_VALUE"""),"In response to cyber incidents, utilize forensic data gathering across impacted systems, ensuring the secure transfer and protection of forensic data.")</f>
        <v>In response to cyber incidents, utilize forensic data gathering across impacted systems, ensuring the secure transfer and protection of forensic data.</v>
      </c>
    </row>
    <row r="90" spans="1:3">
      <c r="A90" s="70" t="str">
        <f ca="1">IFERROR(__xludf.DUMMYFUNCTION("""COMPUTED_VALUE"""),"IR.5.108")</f>
        <v>IR.5.108</v>
      </c>
      <c r="B90" s="68">
        <f ca="1">IFERROR(__xludf.DUMMYFUNCTION("""COMPUTED_VALUE"""),5)</f>
        <v>5</v>
      </c>
      <c r="C90" s="69" t="str">
        <f ca="1">IFERROR(__xludf.DUMMYFUNCTION("""COMPUTED_VALUE"""),"Establish and maintain a cyber incident response team that can investigate an issue physically or virtually at any location within 24 hours.")</f>
        <v>Establish and maintain a cyber incident response team that can investigate an issue physically or virtually at any location within 24 hours.</v>
      </c>
    </row>
    <row r="91" spans="1:3">
      <c r="A91" s="70" t="str">
        <f ca="1">IFERROR(__xludf.DUMMYFUNCTION("""COMPUTED_VALUE"""),"IR.5.110")</f>
        <v>IR.5.110</v>
      </c>
      <c r="B91" s="68">
        <f ca="1">IFERROR(__xludf.DUMMYFUNCTION("""COMPUTED_VALUE"""),5)</f>
        <v>5</v>
      </c>
      <c r="C91" s="69" t="str">
        <f ca="1">IFERROR(__xludf.DUMMYFUNCTION("""COMPUTED_VALUE"""),"Perform unannounced operational exercises to demonstrate technical and procedural responses.")</f>
        <v>Perform unannounced operational exercises to demonstrate technical and procedural responses.</v>
      </c>
    </row>
    <row r="92" spans="1:3">
      <c r="A92" s="68" t="str">
        <f ca="1">IFERROR(__xludf.DUMMYFUNCTION("QUERY(catalog, ""SELECT D, C, E WHERE B = 'MA' ORDER BY C, A"", 0)"),"MA.2.111")</f>
        <v>MA.2.111</v>
      </c>
      <c r="B92" s="68">
        <f ca="1">IFERROR(__xludf.DUMMYFUNCTION("""COMPUTED_VALUE"""),2)</f>
        <v>2</v>
      </c>
      <c r="C92" s="69" t="str">
        <f ca="1">IFERROR(__xludf.DUMMYFUNCTION("""COMPUTED_VALUE"""),"Perform maintenance on organizational systems.")</f>
        <v>Perform maintenance on organizational systems.</v>
      </c>
    </row>
    <row r="93" spans="1:3">
      <c r="A93" s="70" t="str">
        <f ca="1">IFERROR(__xludf.DUMMYFUNCTION("""COMPUTED_VALUE"""),"MA.2.112")</f>
        <v>MA.2.112</v>
      </c>
      <c r="B93" s="68">
        <f ca="1">IFERROR(__xludf.DUMMYFUNCTION("""COMPUTED_VALUE"""),2)</f>
        <v>2</v>
      </c>
      <c r="C93" s="69" t="str">
        <f ca="1">IFERROR(__xludf.DUMMYFUNCTION("""COMPUTED_VALUE"""),"Provide controls on the tools, techniques, mechanisms, and personnel used to conduct system maintenance.")</f>
        <v>Provide controls on the tools, techniques, mechanisms, and personnel used to conduct system maintenance.</v>
      </c>
    </row>
    <row r="94" spans="1:3">
      <c r="A94" s="70" t="str">
        <f ca="1">IFERROR(__xludf.DUMMYFUNCTION("""COMPUTED_VALUE"""),"MA.2.113")</f>
        <v>MA.2.113</v>
      </c>
      <c r="B94" s="68">
        <f ca="1">IFERROR(__xludf.DUMMYFUNCTION("""COMPUTED_VALUE"""),2)</f>
        <v>2</v>
      </c>
      <c r="C94" s="69" t="str">
        <f ca="1">IFERROR(__xludf.DUMMYFUNCTION("""COMPUTED_VALUE"""),"Require multifactor authentication to establish nonlocal maintenance sessions via external network connections and terminate such connections when nonlocal maintenance is complete.")</f>
        <v>Require multifactor authentication to establish nonlocal maintenance sessions via external network connections and terminate such connections when nonlocal maintenance is complete.</v>
      </c>
    </row>
    <row r="95" spans="1:3">
      <c r="A95" s="70" t="str">
        <f ca="1">IFERROR(__xludf.DUMMYFUNCTION("""COMPUTED_VALUE"""),"MA.2.114")</f>
        <v>MA.2.114</v>
      </c>
      <c r="B95" s="68">
        <f ca="1">IFERROR(__xludf.DUMMYFUNCTION("""COMPUTED_VALUE"""),2)</f>
        <v>2</v>
      </c>
      <c r="C95" s="69" t="str">
        <f ca="1">IFERROR(__xludf.DUMMYFUNCTION("""COMPUTED_VALUE"""),"Supervise the maintenance activities of personnel without required access authorization.")</f>
        <v>Supervise the maintenance activities of personnel without required access authorization.</v>
      </c>
    </row>
    <row r="96" spans="1:3">
      <c r="A96" s="70" t="str">
        <f ca="1">IFERROR(__xludf.DUMMYFUNCTION("""COMPUTED_VALUE"""),"MA.3.115")</f>
        <v>MA.3.115</v>
      </c>
      <c r="B96" s="68">
        <f ca="1">IFERROR(__xludf.DUMMYFUNCTION("""COMPUTED_VALUE"""),3)</f>
        <v>3</v>
      </c>
      <c r="C96" s="69" t="str">
        <f ca="1">IFERROR(__xludf.DUMMYFUNCTION("""COMPUTED_VALUE"""),"Ensure equipment removed for off-site maintenance is sanitized of any CUI.")</f>
        <v>Ensure equipment removed for off-site maintenance is sanitized of any CUI.</v>
      </c>
    </row>
    <row r="97" spans="1:3">
      <c r="A97" s="70" t="str">
        <f ca="1">IFERROR(__xludf.DUMMYFUNCTION("""COMPUTED_VALUE"""),"MA.3.116")</f>
        <v>MA.3.116</v>
      </c>
      <c r="B97" s="68">
        <f ca="1">IFERROR(__xludf.DUMMYFUNCTION("""COMPUTED_VALUE"""),3)</f>
        <v>3</v>
      </c>
      <c r="C97" s="69" t="str">
        <f ca="1">IFERROR(__xludf.DUMMYFUNCTION("""COMPUTED_VALUE"""),"Check media containing diagnostic and test programs for malicious code before the media are used in organizational systems.")</f>
        <v>Check media containing diagnostic and test programs for malicious code before the media are used in organizational systems.</v>
      </c>
    </row>
    <row r="98" spans="1:3">
      <c r="A98" s="68" t="str">
        <f ca="1">IFERROR(__xludf.DUMMYFUNCTION("QUERY(catalog, ""SELECT D, C, E WHERE B = 'MP' ORDER BY C, A"", 0)"),"MP.1.118")</f>
        <v>MP.1.118</v>
      </c>
      <c r="B98" s="68">
        <f ca="1">IFERROR(__xludf.DUMMYFUNCTION("""COMPUTED_VALUE"""),1)</f>
        <v>1</v>
      </c>
      <c r="C98" s="69" t="str">
        <f ca="1">IFERROR(__xludf.DUMMYFUNCTION("""COMPUTED_VALUE"""),"Sanitize or destroy information system media containing Federal Contract Information before disposal or release for reuse.")</f>
        <v>Sanitize or destroy information system media containing Federal Contract Information before disposal or release for reuse.</v>
      </c>
    </row>
    <row r="99" spans="1:3">
      <c r="A99" s="70" t="str">
        <f ca="1">IFERROR(__xludf.DUMMYFUNCTION("""COMPUTED_VALUE"""),"MP.2.119")</f>
        <v>MP.2.119</v>
      </c>
      <c r="B99" s="68">
        <f ca="1">IFERROR(__xludf.DUMMYFUNCTION("""COMPUTED_VALUE"""),2)</f>
        <v>2</v>
      </c>
      <c r="C99" s="69" t="str">
        <f ca="1">IFERROR(__xludf.DUMMYFUNCTION("""COMPUTED_VALUE"""),"Protect (i.e., physically control and securely store) system media containing CUI, both paper and digital.")</f>
        <v>Protect (i.e., physically control and securely store) system media containing CUI, both paper and digital.</v>
      </c>
    </row>
    <row r="100" spans="1:3">
      <c r="A100" s="70" t="str">
        <f ca="1">IFERROR(__xludf.DUMMYFUNCTION("""COMPUTED_VALUE"""),"MP.2.120")</f>
        <v>MP.2.120</v>
      </c>
      <c r="B100" s="68">
        <f ca="1">IFERROR(__xludf.DUMMYFUNCTION("""COMPUTED_VALUE"""),2)</f>
        <v>2</v>
      </c>
      <c r="C100" s="69" t="str">
        <f ca="1">IFERROR(__xludf.DUMMYFUNCTION("""COMPUTED_VALUE"""),"Limit access to CUI on system media to authorized users.")</f>
        <v>Limit access to CUI on system media to authorized users.</v>
      </c>
    </row>
    <row r="101" spans="1:3">
      <c r="A101" s="70" t="str">
        <f ca="1">IFERROR(__xludf.DUMMYFUNCTION("""COMPUTED_VALUE"""),"MP.2.121")</f>
        <v>MP.2.121</v>
      </c>
      <c r="B101" s="68">
        <f ca="1">IFERROR(__xludf.DUMMYFUNCTION("""COMPUTED_VALUE"""),2)</f>
        <v>2</v>
      </c>
      <c r="C101" s="69" t="str">
        <f ca="1">IFERROR(__xludf.DUMMYFUNCTION("""COMPUTED_VALUE"""),"Control the use of removable media on system components.")</f>
        <v>Control the use of removable media on system components.</v>
      </c>
    </row>
    <row r="102" spans="1:3">
      <c r="A102" s="70" t="str">
        <f ca="1">IFERROR(__xludf.DUMMYFUNCTION("""COMPUTED_VALUE"""),"MP.3.122")</f>
        <v>MP.3.122</v>
      </c>
      <c r="B102" s="68">
        <f ca="1">IFERROR(__xludf.DUMMYFUNCTION("""COMPUTED_VALUE"""),3)</f>
        <v>3</v>
      </c>
      <c r="C102" s="69" t="str">
        <f ca="1">IFERROR(__xludf.DUMMYFUNCTION("""COMPUTED_VALUE"""),"Mark media with necessary CUI markings and distribution limitations.")</f>
        <v>Mark media with necessary CUI markings and distribution limitations.</v>
      </c>
    </row>
    <row r="103" spans="1:3">
      <c r="A103" s="70" t="str">
        <f ca="1">IFERROR(__xludf.DUMMYFUNCTION("""COMPUTED_VALUE"""),"MP.3.123")</f>
        <v>MP.3.123</v>
      </c>
      <c r="B103" s="68">
        <f ca="1">IFERROR(__xludf.DUMMYFUNCTION("""COMPUTED_VALUE"""),3)</f>
        <v>3</v>
      </c>
      <c r="C103" s="69" t="str">
        <f ca="1">IFERROR(__xludf.DUMMYFUNCTION("""COMPUTED_VALUE"""),"Prohibit the use of portable storage devices when such devices have no identifiable owner.")</f>
        <v>Prohibit the use of portable storage devices when such devices have no identifiable owner.</v>
      </c>
    </row>
    <row r="104" spans="1:3">
      <c r="A104" s="70" t="str">
        <f ca="1">IFERROR(__xludf.DUMMYFUNCTION("""COMPUTED_VALUE"""),"MP.3.124")</f>
        <v>MP.3.124</v>
      </c>
      <c r="B104" s="68">
        <f ca="1">IFERROR(__xludf.DUMMYFUNCTION("""COMPUTED_VALUE"""),3)</f>
        <v>3</v>
      </c>
      <c r="C104" s="69" t="str">
        <f ca="1">IFERROR(__xludf.DUMMYFUNCTION("""COMPUTED_VALUE"""),"Control access to media containing CUI and maintain accountability for media during transport outside of controlled areas.")</f>
        <v>Control access to media containing CUI and maintain accountability for media during transport outside of controlled areas.</v>
      </c>
    </row>
    <row r="105" spans="1:3" ht="28.5" customHeight="1">
      <c r="A105" s="70" t="str">
        <f ca="1">IFERROR(__xludf.DUMMYFUNCTION("""COMPUTED_VALUE"""),"MP.3.125")</f>
        <v>MP.3.125</v>
      </c>
      <c r="B105" s="68">
        <f ca="1">IFERROR(__xludf.DUMMYFUNCTION("""COMPUTED_VALUE"""),3)</f>
        <v>3</v>
      </c>
      <c r="C105" s="69" t="str">
        <f ca="1">IFERROR(__xludf.DUMMYFUNCTION("""COMPUTED_VALUE"""),"Implement cryptographic mechanisms to protect the confidentiality of CUI stored on digital media during transport unless otherwise protected by alternative physical safeguards.")</f>
        <v>Implement cryptographic mechanisms to protect the confidentiality of CUI stored on digital media during transport unless otherwise protected by alternative physical safeguards.</v>
      </c>
    </row>
    <row r="106" spans="1:3">
      <c r="A106" s="68" t="str">
        <f ca="1">IFERROR(__xludf.DUMMYFUNCTION("QUERY(catalog, ""SELECT D, C, E WHERE B = 'PE' ORDER BY C, A"", 0)"),"PE.1.131")</f>
        <v>PE.1.131</v>
      </c>
      <c r="B106" s="68">
        <f ca="1">IFERROR(__xludf.DUMMYFUNCTION("""COMPUTED_VALUE"""),1)</f>
        <v>1</v>
      </c>
      <c r="C106" s="69" t="str">
        <f ca="1">IFERROR(__xludf.DUMMYFUNCTION("""COMPUTED_VALUE"""),"Limit physical access to organizational information systems, equipment, and the respective operating environments to authorized individuals.")</f>
        <v>Limit physical access to organizational information systems, equipment, and the respective operating environments to authorized individuals.</v>
      </c>
    </row>
    <row r="107" spans="1:3">
      <c r="A107" s="70" t="str">
        <f ca="1">IFERROR(__xludf.DUMMYFUNCTION("""COMPUTED_VALUE"""),"PE.1.132")</f>
        <v>PE.1.132</v>
      </c>
      <c r="B107" s="68">
        <f ca="1">IFERROR(__xludf.DUMMYFUNCTION("""COMPUTED_VALUE"""),1)</f>
        <v>1</v>
      </c>
      <c r="C107" s="69" t="str">
        <f ca="1">IFERROR(__xludf.DUMMYFUNCTION("""COMPUTED_VALUE"""),"Escort visitors and monitor visitor activity.")</f>
        <v>Escort visitors and monitor visitor activity.</v>
      </c>
    </row>
    <row r="108" spans="1:3">
      <c r="A108" s="70" t="str">
        <f ca="1">IFERROR(__xludf.DUMMYFUNCTION("""COMPUTED_VALUE"""),"PE.1.133")</f>
        <v>PE.1.133</v>
      </c>
      <c r="B108" s="68">
        <f ca="1">IFERROR(__xludf.DUMMYFUNCTION("""COMPUTED_VALUE"""),1)</f>
        <v>1</v>
      </c>
      <c r="C108" s="69" t="str">
        <f ca="1">IFERROR(__xludf.DUMMYFUNCTION("""COMPUTED_VALUE"""),"Maintain audit logs of physical access.")</f>
        <v>Maintain audit logs of physical access.</v>
      </c>
    </row>
    <row r="109" spans="1:3">
      <c r="A109" s="70" t="str">
        <f ca="1">IFERROR(__xludf.DUMMYFUNCTION("""COMPUTED_VALUE"""),"PE.1.134")</f>
        <v>PE.1.134</v>
      </c>
      <c r="B109" s="68">
        <f ca="1">IFERROR(__xludf.DUMMYFUNCTION("""COMPUTED_VALUE"""),1)</f>
        <v>1</v>
      </c>
      <c r="C109" s="69" t="str">
        <f ca="1">IFERROR(__xludf.DUMMYFUNCTION("""COMPUTED_VALUE"""),"Control and manage physical access devices.")</f>
        <v>Control and manage physical access devices.</v>
      </c>
    </row>
    <row r="110" spans="1:3">
      <c r="A110" s="70" t="str">
        <f ca="1">IFERROR(__xludf.DUMMYFUNCTION("""COMPUTED_VALUE"""),"PE.2.135")</f>
        <v>PE.2.135</v>
      </c>
      <c r="B110" s="68">
        <f ca="1">IFERROR(__xludf.DUMMYFUNCTION("""COMPUTED_VALUE"""),2)</f>
        <v>2</v>
      </c>
      <c r="C110" s="69" t="str">
        <f ca="1">IFERROR(__xludf.DUMMYFUNCTION("""COMPUTED_VALUE"""),"Protect and monitor the physical facility and support infrastructure for organizational systems.")</f>
        <v>Protect and monitor the physical facility and support infrastructure for organizational systems.</v>
      </c>
    </row>
    <row r="111" spans="1:3">
      <c r="A111" s="70" t="str">
        <f ca="1">IFERROR(__xludf.DUMMYFUNCTION("""COMPUTED_VALUE"""),"PE.3.136")</f>
        <v>PE.3.136</v>
      </c>
      <c r="B111" s="68">
        <f ca="1">IFERROR(__xludf.DUMMYFUNCTION("""COMPUTED_VALUE"""),3)</f>
        <v>3</v>
      </c>
      <c r="C111" s="69" t="str">
        <f ca="1">IFERROR(__xludf.DUMMYFUNCTION("""COMPUTED_VALUE"""),"Enforce safeguarding measures for CUI at alternate work sites.")</f>
        <v>Enforce safeguarding measures for CUI at alternate work sites.</v>
      </c>
    </row>
    <row r="112" spans="1:3">
      <c r="A112" s="68" t="str">
        <f ca="1">IFERROR(__xludf.DUMMYFUNCTION("QUERY(catalog, ""SELECT D, C, E WHERE B = 'PS' ORDER BY C, A"", 0)"),"PS.2.127")</f>
        <v>PS.2.127</v>
      </c>
      <c r="B112" s="68">
        <f ca="1">IFERROR(__xludf.DUMMYFUNCTION("""COMPUTED_VALUE"""),2)</f>
        <v>2</v>
      </c>
      <c r="C112" s="69" t="str">
        <f ca="1">IFERROR(__xludf.DUMMYFUNCTION("""COMPUTED_VALUE"""),"Screen individuals prior to authorizing access to organizational systems containing CUI.")</f>
        <v>Screen individuals prior to authorizing access to organizational systems containing CUI.</v>
      </c>
    </row>
    <row r="113" spans="1:3">
      <c r="A113" s="70" t="str">
        <f ca="1">IFERROR(__xludf.DUMMYFUNCTION("""COMPUTED_VALUE"""),"PS.2.128")</f>
        <v>PS.2.128</v>
      </c>
      <c r="B113" s="68">
        <f ca="1">IFERROR(__xludf.DUMMYFUNCTION("""COMPUTED_VALUE"""),2)</f>
        <v>2</v>
      </c>
      <c r="C113" s="69" t="str">
        <f ca="1">IFERROR(__xludf.DUMMYFUNCTION("""COMPUTED_VALUE"""),"Ensure that organizational systems containing CUI are protected during and after personnel actions such as terminations and transfers.")</f>
        <v>Ensure that organizational systems containing CUI are protected during and after personnel actions such as terminations and transfers.</v>
      </c>
    </row>
    <row r="114" spans="1:3">
      <c r="A114" s="101" t="str">
        <f ca="1">IFERROR(__xludf.DUMMYFUNCTION("QUERY(catalog, ""SELECT D, C, E WHERE B = 'RE' ORDER BY C, A"", 0)"),"RE.2.137")</f>
        <v>RE.2.137</v>
      </c>
      <c r="B114" s="68">
        <f ca="1">IFERROR(__xludf.DUMMYFUNCTION("""COMPUTED_VALUE"""),2)</f>
        <v>2</v>
      </c>
      <c r="C114" s="69" t="str">
        <f ca="1">IFERROR(__xludf.DUMMYFUNCTION("""COMPUTED_VALUE"""),"Regularly perform and test data back-ups.")</f>
        <v>Regularly perform and test data back-ups.</v>
      </c>
    </row>
    <row r="115" spans="1:3">
      <c r="A115" s="70" t="str">
        <f ca="1">IFERROR(__xludf.DUMMYFUNCTION("""COMPUTED_VALUE"""),"RE.2.138")</f>
        <v>RE.2.138</v>
      </c>
      <c r="B115" s="68">
        <f ca="1">IFERROR(__xludf.DUMMYFUNCTION("""COMPUTED_VALUE"""),2)</f>
        <v>2</v>
      </c>
      <c r="C115" s="69" t="str">
        <f ca="1">IFERROR(__xludf.DUMMYFUNCTION("""COMPUTED_VALUE"""),"Protect the confidentiality of backup CUI at storage locations.")</f>
        <v>Protect the confidentiality of backup CUI at storage locations.</v>
      </c>
    </row>
    <row r="116" spans="1:3">
      <c r="A116" s="100" t="str">
        <f ca="1">IFERROR(__xludf.DUMMYFUNCTION("""COMPUTED_VALUE"""),"RE.3.139")</f>
        <v>RE.3.139</v>
      </c>
      <c r="B116" s="68">
        <f ca="1">IFERROR(__xludf.DUMMYFUNCTION("""COMPUTED_VALUE"""),3)</f>
        <v>3</v>
      </c>
      <c r="C116" s="69" t="str">
        <f ca="1">IFERROR(__xludf.DUMMYFUNCTION("""COMPUTED_VALUE"""),"Regularly perform complete, comprehensive, and resilient data back-ups as organizationally defined.")</f>
        <v>Regularly perform complete, comprehensive, and resilient data back-ups as organizationally defined.</v>
      </c>
    </row>
    <row r="117" spans="1:3">
      <c r="A117" s="70" t="str">
        <f ca="1">IFERROR(__xludf.DUMMYFUNCTION("""COMPUTED_VALUE"""),"RE.5.140")</f>
        <v>RE.5.140</v>
      </c>
      <c r="B117" s="68">
        <f ca="1">IFERROR(__xludf.DUMMYFUNCTION("""COMPUTED_VALUE"""),5)</f>
        <v>5</v>
      </c>
      <c r="C117" s="69" t="str">
        <f ca="1">IFERROR(__xludf.DUMMYFUNCTION("""COMPUTED_VALUE"""),"Ensure information processing facilities meet organizationally defined information security continuity, redundancy, and availability requirements.")</f>
        <v>Ensure information processing facilities meet organizationally defined information security continuity, redundancy, and availability requirements.</v>
      </c>
    </row>
    <row r="118" spans="1:3" ht="26.25">
      <c r="A118" s="68" t="str">
        <f ca="1">IFERROR(__xludf.DUMMYFUNCTION("QUERY(catalog, ""SELECT D, C, E WHERE B = 'RM' ORDER BY C, A"", 0)"),"RM.2.141")</f>
        <v>RM.2.141</v>
      </c>
      <c r="B118" s="68">
        <f ca="1">IFERROR(__xludf.DUMMYFUNCTION("""COMPUTED_VALUE"""),2)</f>
        <v>2</v>
      </c>
      <c r="C118" s="69" t="str">
        <f ca="1">IFERROR(__xludf.DUMMYFUNCTION("""COMPUTED_VALUE"""),"Periodically assess the risk to organizational operations (including mission, functions, image, or reputation), organizational assets, and individuals, resulting from the operation of organizational systems and the associated processing, storage, or trans"&amp;"mission of CUI.")</f>
        <v>Periodically assess the risk to organizational operations (including mission, functions, image, or reputation), organizational assets, and individuals, resulting from the operation of organizational systems and the associated processing, storage, or transmission of CUI.</v>
      </c>
    </row>
    <row r="119" spans="1:3">
      <c r="A119" s="70" t="str">
        <f ca="1">IFERROR(__xludf.DUMMYFUNCTION("""COMPUTED_VALUE"""),"RM.2.142")</f>
        <v>RM.2.142</v>
      </c>
      <c r="B119" s="68">
        <f ca="1">IFERROR(__xludf.DUMMYFUNCTION("""COMPUTED_VALUE"""),2)</f>
        <v>2</v>
      </c>
      <c r="C119" s="69" t="str">
        <f ca="1">IFERROR(__xludf.DUMMYFUNCTION("""COMPUTED_VALUE"""),"Scan for vulnerabilities in organizational systems and applications periodically and when new vulnerabilities affecting those systems and applications are identified.")</f>
        <v>Scan for vulnerabilities in organizational systems and applications periodically and when new vulnerabilities affecting those systems and applications are identified.</v>
      </c>
    </row>
    <row r="120" spans="1:3">
      <c r="A120" s="70" t="str">
        <f ca="1">IFERROR(__xludf.DUMMYFUNCTION("""COMPUTED_VALUE"""),"RM.2.143")</f>
        <v>RM.2.143</v>
      </c>
      <c r="B120" s="68">
        <f ca="1">IFERROR(__xludf.DUMMYFUNCTION("""COMPUTED_VALUE"""),2)</f>
        <v>2</v>
      </c>
      <c r="C120" s="69" t="str">
        <f ca="1">IFERROR(__xludf.DUMMYFUNCTION("""COMPUTED_VALUE"""),"Remediate vulnerabilities in accordance with risk assessments.")</f>
        <v>Remediate vulnerabilities in accordance with risk assessments.</v>
      </c>
    </row>
    <row r="121" spans="1:3">
      <c r="A121" s="100" t="str">
        <f ca="1">IFERROR(__xludf.DUMMYFUNCTION("""COMPUTED_VALUE"""),"RM.3.144")</f>
        <v>RM.3.144</v>
      </c>
      <c r="B121" s="68">
        <f ca="1">IFERROR(__xludf.DUMMYFUNCTION("""COMPUTED_VALUE"""),3)</f>
        <v>3</v>
      </c>
      <c r="C121" s="69" t="str">
        <f ca="1">IFERROR(__xludf.DUMMYFUNCTION("""COMPUTED_VALUE"""),"Periodically perform risk assessments to identify and prioritize risks according to the defined risk categories, risk sources, and risk measurement criteria.")</f>
        <v>Periodically perform risk assessments to identify and prioritize risks according to the defined risk categories, risk sources, and risk measurement criteria.</v>
      </c>
    </row>
    <row r="122" spans="1:3">
      <c r="A122" s="100" t="str">
        <f ca="1">IFERROR(__xludf.DUMMYFUNCTION("""COMPUTED_VALUE"""),"RM.3.146")</f>
        <v>RM.3.146</v>
      </c>
      <c r="B122" s="68">
        <f ca="1">IFERROR(__xludf.DUMMYFUNCTION("""COMPUTED_VALUE"""),3)</f>
        <v>3</v>
      </c>
      <c r="C122" s="69" t="str">
        <f ca="1">IFERROR(__xludf.DUMMYFUNCTION("""COMPUTED_VALUE"""),"Develop and implement risk mitigation plans.")</f>
        <v>Develop and implement risk mitigation plans.</v>
      </c>
    </row>
    <row r="123" spans="1:3">
      <c r="A123" s="100" t="str">
        <f ca="1">IFERROR(__xludf.DUMMYFUNCTION("""COMPUTED_VALUE"""),"RM.3.147")</f>
        <v>RM.3.147</v>
      </c>
      <c r="B123" s="68">
        <f ca="1">IFERROR(__xludf.DUMMYFUNCTION("""COMPUTED_VALUE"""),3)</f>
        <v>3</v>
      </c>
      <c r="C123" s="69" t="str">
        <f ca="1">IFERROR(__xludf.DUMMYFUNCTION("""COMPUTED_VALUE"""),"Manage non-vendor-supported products (e.g., end of life) separately and restrict as necessary to reduce risk.")</f>
        <v>Manage non-vendor-supported products (e.g., end of life) separately and restrict as necessary to reduce risk.</v>
      </c>
    </row>
    <row r="124" spans="1:3">
      <c r="A124" s="70" t="str">
        <f ca="1">IFERROR(__xludf.DUMMYFUNCTION("""COMPUTED_VALUE"""),"RM.4.148")</f>
        <v>RM.4.148</v>
      </c>
      <c r="B124" s="68">
        <f ca="1">IFERROR(__xludf.DUMMYFUNCTION("""COMPUTED_VALUE"""),4)</f>
        <v>4</v>
      </c>
      <c r="C124" s="69" t="str">
        <f ca="1">IFERROR(__xludf.DUMMYFUNCTION("""COMPUTED_VALUE"""),"Develop and update as required, a plan for managing supply chain risks associated with the IT supply chain.")</f>
        <v>Develop and update as required, a plan for managing supply chain risks associated with the IT supply chain.</v>
      </c>
    </row>
    <row r="125" spans="1:3">
      <c r="A125" s="70" t="str">
        <f ca="1">IFERROR(__xludf.DUMMYFUNCTION("""COMPUTED_VALUE"""),"RM.4.149")</f>
        <v>RM.4.149</v>
      </c>
      <c r="B125" s="68">
        <f ca="1">IFERROR(__xludf.DUMMYFUNCTION("""COMPUTED_VALUE"""),4)</f>
        <v>4</v>
      </c>
      <c r="C125" s="69" t="str">
        <f ca="1">IFERROR(__xludf.DUMMYFUNCTION("""COMPUTED_VALUE"""),"Catalog and periodically update threat profiles and adversary TTPs.")</f>
        <v>Catalog and periodically update threat profiles and adversary TTPs.</v>
      </c>
    </row>
    <row r="126" spans="1:3" ht="26.25">
      <c r="A126" s="70" t="str">
        <f ca="1">IFERROR(__xludf.DUMMYFUNCTION("""COMPUTED_VALUE"""),"RM.4.150")</f>
        <v>RM.4.150</v>
      </c>
      <c r="B126" s="68">
        <f ca="1">IFERROR(__xludf.DUMMYFUNCTION("""COMPUTED_VALUE"""),4)</f>
        <v>4</v>
      </c>
      <c r="C126" s="69" t="str">
        <f ca="1">IFERROR(__xludf.DUMMYFUNCTION("""COMPUTED_VALUE"""),"Employ threat intelligence to inform the development of the system and security architectures, selection of security solutions, monitoring, threat hunting, and response and recovery activities.")</f>
        <v>Employ threat intelligence to inform the development of the system and security architectures, selection of security solutions, monitoring, threat hunting, and response and recovery activities.</v>
      </c>
    </row>
    <row r="127" spans="1:3">
      <c r="A127" s="70" t="str">
        <f ca="1">IFERROR(__xludf.DUMMYFUNCTION("""COMPUTED_VALUE"""),"RM.4.151")</f>
        <v>RM.4.151</v>
      </c>
      <c r="B127" s="68">
        <f ca="1">IFERROR(__xludf.DUMMYFUNCTION("""COMPUTED_VALUE"""),4)</f>
        <v>4</v>
      </c>
      <c r="C127" s="69" t="str">
        <f ca="1">IFERROR(__xludf.DUMMYFUNCTION("""COMPUTED_VALUE"""),"Perform scans for unauthorized ports available across perimeter network boundaries over the organization's Internet network boundaries and other organizationally defined boundaries.")</f>
        <v>Perform scans for unauthorized ports available across perimeter network boundaries over the organization's Internet network boundaries and other organizationally defined boundaries.</v>
      </c>
    </row>
    <row r="128" spans="1:3">
      <c r="A128" s="70" t="str">
        <f ca="1">IFERROR(__xludf.DUMMYFUNCTION("""COMPUTED_VALUE"""),"RM.5.152")</f>
        <v>RM.5.152</v>
      </c>
      <c r="B128" s="68">
        <f ca="1">IFERROR(__xludf.DUMMYFUNCTION("""COMPUTED_VALUE"""),5)</f>
        <v>5</v>
      </c>
      <c r="C128" s="69" t="str">
        <f ca="1">IFERROR(__xludf.DUMMYFUNCTION("""COMPUTED_VALUE"""),"Utilize an exception process for non-whitelisted software that includes mitigation techniques.")</f>
        <v>Utilize an exception process for non-whitelisted software that includes mitigation techniques.</v>
      </c>
    </row>
    <row r="129" spans="1:3">
      <c r="A129" s="70" t="str">
        <f ca="1">IFERROR(__xludf.DUMMYFUNCTION("""COMPUTED_VALUE"""),"RM.5.155")</f>
        <v>RM.5.155</v>
      </c>
      <c r="B129" s="68">
        <f ca="1">IFERROR(__xludf.DUMMYFUNCTION("""COMPUTED_VALUE"""),5)</f>
        <v>5</v>
      </c>
      <c r="C129" s="69" t="str">
        <f ca="1">IFERROR(__xludf.DUMMYFUNCTION("""COMPUTED_VALUE"""),"Analyze the effectiveness of security solutions at least annually to address anticipated risk to the system and the organization based on current and accumulated threat intelligence.")</f>
        <v>Analyze the effectiveness of security solutions at least annually to address anticipated risk to the system and the organization based on current and accumulated threat intelligence.</v>
      </c>
    </row>
    <row r="130" spans="1:3">
      <c r="A130" s="100" t="str">
        <f ca="1">IFERROR(__xludf.DUMMYFUNCTION("""COMPUTED_VALUE"""),"SA.3.169")</f>
        <v>SA.3.169</v>
      </c>
      <c r="B130" s="68">
        <f ca="1">IFERROR(__xludf.DUMMYFUNCTION("""COMPUTED_VALUE"""),3)</f>
        <v>3</v>
      </c>
      <c r="C130" s="69" t="str">
        <f ca="1">IFERROR(__xludf.DUMMYFUNCTION("""COMPUTED_VALUE"""),"Receive and respond to cyber threat intelligence from information sharing forums and sources and communicate to stakeholders.")</f>
        <v>Receive and respond to cyber threat intelligence from information sharing forums and sources and communicate to stakeholders.</v>
      </c>
    </row>
    <row r="131" spans="1:3" ht="26.25">
      <c r="A131" s="70" t="str">
        <f ca="1">IFERROR(__xludf.DUMMYFUNCTION("""COMPUTED_VALUE"""),"SA.4.171")</f>
        <v>SA.4.171</v>
      </c>
      <c r="B131" s="68">
        <f ca="1">IFERROR(__xludf.DUMMYFUNCTION("""COMPUTED_VALUE"""),4)</f>
        <v>4</v>
      </c>
      <c r="C131" s="69" t="str">
        <f ca="1">IFERROR(__xludf.DUMMYFUNCTION("""COMPUTED_VALUE"""),"Establish and maintain a cyber threat hunting capability to search for indicators of compromise in organizational systems and detect, track, and disrupt threats that evade existing controls.")</f>
        <v>Establish and maintain a cyber threat hunting capability to search for indicators of compromise in organizational systems and detect, track, and disrupt threats that evade existing controls.</v>
      </c>
    </row>
    <row r="132" spans="1:3">
      <c r="A132" s="70" t="str">
        <f ca="1">IFERROR(__xludf.DUMMYFUNCTION("""COMPUTED_VALUE"""),"SA.4.173")</f>
        <v>SA.4.173</v>
      </c>
      <c r="B132" s="68">
        <f ca="1">IFERROR(__xludf.DUMMYFUNCTION("""COMPUTED_VALUE"""),4)</f>
        <v>4</v>
      </c>
      <c r="C132" s="69" t="str">
        <f ca="1">IFERROR(__xludf.DUMMYFUNCTION("""COMPUTED_VALUE"""),"Design network and system security capabilities to leverage, integrate, and share indicators of compromise.")</f>
        <v>Design network and system security capabilities to leverage, integrate, and share indicators of compromise.</v>
      </c>
    </row>
    <row r="133" spans="1:3" ht="26.25">
      <c r="A133" s="68" t="str">
        <f ca="1">IFERROR(__xludf.DUMMYFUNCTION("QUERY(catalog, ""SELECT D, C, E WHERE B = 'SC' ORDER BY C, A"", 0)"),"SC.1.175")</f>
        <v>SC.1.175</v>
      </c>
      <c r="B133" s="68">
        <f ca="1">IFERROR(__xludf.DUMMYFUNCTION("""COMPUTED_VALUE"""),1)</f>
        <v>1</v>
      </c>
      <c r="C133" s="69" t="str">
        <f ca="1">IFERROR(__xludf.DUMMYFUNCTION("""COMPUTED_VALUE"""),"Monitor, control, and protect organizational communications (i.e., information transmitted or received by organizational information systems) at the external boundaries and key internal boundaries of the information systems.")</f>
        <v>Monitor, control, and protect organizational communications (i.e., information transmitted or received by organizational information systems) at the external boundaries and key internal boundaries of the information systems.</v>
      </c>
    </row>
    <row r="134" spans="1:3">
      <c r="A134" s="70" t="str">
        <f ca="1">IFERROR(__xludf.DUMMYFUNCTION("""COMPUTED_VALUE"""),"SC.1.176")</f>
        <v>SC.1.176</v>
      </c>
      <c r="B134" s="68">
        <f ca="1">IFERROR(__xludf.DUMMYFUNCTION("""COMPUTED_VALUE"""),1)</f>
        <v>1</v>
      </c>
      <c r="C134" s="69" t="str">
        <f ca="1">IFERROR(__xludf.DUMMYFUNCTION("""COMPUTED_VALUE"""),"Implement subnetworks for publicly accessible system components that are physically or logically separated from internal networks.")</f>
        <v>Implement subnetworks for publicly accessible system components that are physically or logically separated from internal networks.</v>
      </c>
    </row>
    <row r="135" spans="1:3">
      <c r="A135" s="70" t="str">
        <f ca="1">IFERROR(__xludf.DUMMYFUNCTION("""COMPUTED_VALUE"""),"SC.2.178")</f>
        <v>SC.2.178</v>
      </c>
      <c r="B135" s="68">
        <f ca="1">IFERROR(__xludf.DUMMYFUNCTION("""COMPUTED_VALUE"""),2)</f>
        <v>2</v>
      </c>
      <c r="C135" s="69" t="str">
        <f ca="1">IFERROR(__xludf.DUMMYFUNCTION("""COMPUTED_VALUE"""),"Prohibit remote activation of collaborative computing devices and provide indication of devices in use to users present at the device.")</f>
        <v>Prohibit remote activation of collaborative computing devices and provide indication of devices in use to users present at the device.</v>
      </c>
    </row>
    <row r="136" spans="1:3">
      <c r="A136" s="100" t="str">
        <f ca="1">IFERROR(__xludf.DUMMYFUNCTION("""COMPUTED_VALUE"""),"SC.2.179")</f>
        <v>SC.2.179</v>
      </c>
      <c r="B136" s="68">
        <f ca="1">IFERROR(__xludf.DUMMYFUNCTION("""COMPUTED_VALUE"""),2)</f>
        <v>2</v>
      </c>
      <c r="C136" s="69" t="str">
        <f ca="1">IFERROR(__xludf.DUMMYFUNCTION("""COMPUTED_VALUE"""),"Use encrypted sessions for the management of network devices.")</f>
        <v>Use encrypted sessions for the management of network devices.</v>
      </c>
    </row>
    <row r="137" spans="1:3">
      <c r="A137" s="70" t="str">
        <f ca="1">IFERROR(__xludf.DUMMYFUNCTION("""COMPUTED_VALUE"""),"SC.3.177")</f>
        <v>SC.3.177</v>
      </c>
      <c r="B137" s="68">
        <f ca="1">IFERROR(__xludf.DUMMYFUNCTION("""COMPUTED_VALUE"""),3)</f>
        <v>3</v>
      </c>
      <c r="C137" s="69" t="str">
        <f ca="1">IFERROR(__xludf.DUMMYFUNCTION("""COMPUTED_VALUE"""),"Employ FIPS-validated cryptography when used to protect the confidentiality of CUI.")</f>
        <v>Employ FIPS-validated cryptography when used to protect the confidentiality of CUI.</v>
      </c>
    </row>
    <row r="138" spans="1:3">
      <c r="A138" s="70" t="str">
        <f ca="1">IFERROR(__xludf.DUMMYFUNCTION("""COMPUTED_VALUE"""),"SC.3.180")</f>
        <v>SC.3.180</v>
      </c>
      <c r="B138" s="68">
        <f ca="1">IFERROR(__xludf.DUMMYFUNCTION("""COMPUTED_VALUE"""),3)</f>
        <v>3</v>
      </c>
      <c r="C138" s="69" t="str">
        <f ca="1">IFERROR(__xludf.DUMMYFUNCTION("""COMPUTED_VALUE"""),"Employ architectural designs, software development techniques, and systems engineering principles that promote effective information security within organizational systems.")</f>
        <v>Employ architectural designs, software development techniques, and systems engineering principles that promote effective information security within organizational systems.</v>
      </c>
    </row>
    <row r="139" spans="1:3">
      <c r="A139" s="70" t="str">
        <f ca="1">IFERROR(__xludf.DUMMYFUNCTION("""COMPUTED_VALUE"""),"SC.3.181")</f>
        <v>SC.3.181</v>
      </c>
      <c r="B139" s="68">
        <f ca="1">IFERROR(__xludf.DUMMYFUNCTION("""COMPUTED_VALUE"""),3)</f>
        <v>3</v>
      </c>
      <c r="C139" s="69" t="str">
        <f ca="1">IFERROR(__xludf.DUMMYFUNCTION("""COMPUTED_VALUE"""),"Separate user functionality from system management functionality.")</f>
        <v>Separate user functionality from system management functionality.</v>
      </c>
    </row>
    <row r="140" spans="1:3">
      <c r="A140" s="70" t="str">
        <f ca="1">IFERROR(__xludf.DUMMYFUNCTION("""COMPUTED_VALUE"""),"SC.3.182")</f>
        <v>SC.3.182</v>
      </c>
      <c r="B140" s="68">
        <f ca="1">IFERROR(__xludf.DUMMYFUNCTION("""COMPUTED_VALUE"""),3)</f>
        <v>3</v>
      </c>
      <c r="C140" s="69" t="str">
        <f ca="1">IFERROR(__xludf.DUMMYFUNCTION("""COMPUTED_VALUE"""),"Prevent unauthorized and unintended information transfer via shared system resources.")</f>
        <v>Prevent unauthorized and unintended information transfer via shared system resources.</v>
      </c>
    </row>
    <row r="141" spans="1:3">
      <c r="A141" s="70" t="str">
        <f ca="1">IFERROR(__xludf.DUMMYFUNCTION("""COMPUTED_VALUE"""),"SC.3.183")</f>
        <v>SC.3.183</v>
      </c>
      <c r="B141" s="68">
        <f ca="1">IFERROR(__xludf.DUMMYFUNCTION("""COMPUTED_VALUE"""),3)</f>
        <v>3</v>
      </c>
      <c r="C141" s="69" t="str">
        <f ca="1">IFERROR(__xludf.DUMMYFUNCTION("""COMPUTED_VALUE"""),"Deny network communications traffic by default and allow network communications traffic by exception (i.e., deny all, permit by exception).")</f>
        <v>Deny network communications traffic by default and allow network communications traffic by exception (i.e., deny all, permit by exception).</v>
      </c>
    </row>
    <row r="142" spans="1:3" ht="26.25">
      <c r="A142" s="70" t="str">
        <f ca="1">IFERROR(__xludf.DUMMYFUNCTION("""COMPUTED_VALUE"""),"SC.3.184")</f>
        <v>SC.3.184</v>
      </c>
      <c r="B142" s="68">
        <f ca="1">IFERROR(__xludf.DUMMYFUNCTION("""COMPUTED_VALUE"""),3)</f>
        <v>3</v>
      </c>
      <c r="C142" s="69" t="str">
        <f ca="1">IFERROR(__xludf.DUMMYFUNCTION("""COMPUTED_VALUE"""),"Prevent remote devices from simultaneously establishing non-remote connections with organizational systems and communicating via some other connection to resources in external networks (i.e., split tunneling).")</f>
        <v>Prevent remote devices from simultaneously establishing non-remote connections with organizational systems and communicating via some other connection to resources in external networks (i.e., split tunneling).</v>
      </c>
    </row>
    <row r="143" spans="1:3">
      <c r="A143" s="70" t="str">
        <f ca="1">IFERROR(__xludf.DUMMYFUNCTION("""COMPUTED_VALUE"""),"SC.3.185")</f>
        <v>SC.3.185</v>
      </c>
      <c r="B143" s="68">
        <f ca="1">IFERROR(__xludf.DUMMYFUNCTION("""COMPUTED_VALUE"""),3)</f>
        <v>3</v>
      </c>
      <c r="C143" s="69" t="str">
        <f ca="1">IFERROR(__xludf.DUMMYFUNCTION("""COMPUTED_VALUE"""),"Implement cryptographic mechanisms to prevent unauthorized disclosure of CUI during transmission unless otherwise protected by alternative physical safeguards.")</f>
        <v>Implement cryptographic mechanisms to prevent unauthorized disclosure of CUI during transmission unless otherwise protected by alternative physical safeguards.</v>
      </c>
    </row>
    <row r="144" spans="1:3">
      <c r="A144" s="70" t="str">
        <f ca="1">IFERROR(__xludf.DUMMYFUNCTION("""COMPUTED_VALUE"""),"SC.3.186")</f>
        <v>SC.3.186</v>
      </c>
      <c r="B144" s="68">
        <f ca="1">IFERROR(__xludf.DUMMYFUNCTION("""COMPUTED_VALUE"""),3)</f>
        <v>3</v>
      </c>
      <c r="C144" s="69" t="str">
        <f ca="1">IFERROR(__xludf.DUMMYFUNCTION("""COMPUTED_VALUE"""),"Terminate network connections associated with communications sessions at the end of the sessions or after a defined period of inactivity.")</f>
        <v>Terminate network connections associated with communications sessions at the end of the sessions or after a defined period of inactivity.</v>
      </c>
    </row>
    <row r="145" spans="1:3">
      <c r="A145" s="70" t="str">
        <f ca="1">IFERROR(__xludf.DUMMYFUNCTION("""COMPUTED_VALUE"""),"SC.3.187")</f>
        <v>SC.3.187</v>
      </c>
      <c r="B145" s="68">
        <f ca="1">IFERROR(__xludf.DUMMYFUNCTION("""COMPUTED_VALUE"""),3)</f>
        <v>3</v>
      </c>
      <c r="C145" s="69" t="str">
        <f ca="1">IFERROR(__xludf.DUMMYFUNCTION("""COMPUTED_VALUE"""),"Establish and manage cryptographic keys for cryptography employed in organizational systems.")</f>
        <v>Establish and manage cryptographic keys for cryptography employed in organizational systems.</v>
      </c>
    </row>
    <row r="146" spans="1:3">
      <c r="A146" s="70" t="str">
        <f ca="1">IFERROR(__xludf.DUMMYFUNCTION("""COMPUTED_VALUE"""),"SC.3.188")</f>
        <v>SC.3.188</v>
      </c>
      <c r="B146" s="68">
        <f ca="1">IFERROR(__xludf.DUMMYFUNCTION("""COMPUTED_VALUE"""),3)</f>
        <v>3</v>
      </c>
      <c r="C146" s="69" t="str">
        <f ca="1">IFERROR(__xludf.DUMMYFUNCTION("""COMPUTED_VALUE"""),"Control and monitor the use of mobile code.")</f>
        <v>Control and monitor the use of mobile code.</v>
      </c>
    </row>
    <row r="147" spans="1:3">
      <c r="A147" s="70" t="str">
        <f ca="1">IFERROR(__xludf.DUMMYFUNCTION("""COMPUTED_VALUE"""),"SC.3.189")</f>
        <v>SC.3.189</v>
      </c>
      <c r="B147" s="68">
        <f ca="1">IFERROR(__xludf.DUMMYFUNCTION("""COMPUTED_VALUE"""),3)</f>
        <v>3</v>
      </c>
      <c r="C147" s="69" t="str">
        <f ca="1">IFERROR(__xludf.DUMMYFUNCTION("""COMPUTED_VALUE"""),"Control and monitor the use of Voice over Internet Protocol (VoIP) technologies.")</f>
        <v>Control and monitor the use of Voice over Internet Protocol (VoIP) technologies.</v>
      </c>
    </row>
    <row r="148" spans="1:3">
      <c r="A148" s="70" t="str">
        <f ca="1">IFERROR(__xludf.DUMMYFUNCTION("""COMPUTED_VALUE"""),"SC.3.190")</f>
        <v>SC.3.190</v>
      </c>
      <c r="B148" s="68">
        <f ca="1">IFERROR(__xludf.DUMMYFUNCTION("""COMPUTED_VALUE"""),3)</f>
        <v>3</v>
      </c>
      <c r="C148" s="69" t="str">
        <f ca="1">IFERROR(__xludf.DUMMYFUNCTION("""COMPUTED_VALUE"""),"Protect the authenticity of communications sessions.")</f>
        <v>Protect the authenticity of communications sessions.</v>
      </c>
    </row>
    <row r="149" spans="1:3">
      <c r="A149" s="70" t="str">
        <f ca="1">IFERROR(__xludf.DUMMYFUNCTION("""COMPUTED_VALUE"""),"SC.3.191")</f>
        <v>SC.3.191</v>
      </c>
      <c r="B149" s="68">
        <f ca="1">IFERROR(__xludf.DUMMYFUNCTION("""COMPUTED_VALUE"""),3)</f>
        <v>3</v>
      </c>
      <c r="C149" s="69" t="str">
        <f ca="1">IFERROR(__xludf.DUMMYFUNCTION("""COMPUTED_VALUE"""),"Protect the confidentiality of CUI at rest.")</f>
        <v>Protect the confidentiality of CUI at rest.</v>
      </c>
    </row>
    <row r="150" spans="1:3">
      <c r="A150" s="100" t="str">
        <f ca="1">IFERROR(__xludf.DUMMYFUNCTION("""COMPUTED_VALUE"""),"SC.3.192")</f>
        <v>SC.3.192</v>
      </c>
      <c r="B150" s="68">
        <f ca="1">IFERROR(__xludf.DUMMYFUNCTION("""COMPUTED_VALUE"""),3)</f>
        <v>3</v>
      </c>
      <c r="C150" s="69" t="str">
        <f ca="1">IFERROR(__xludf.DUMMYFUNCTION("""COMPUTED_VALUE"""),"Implement Domain Name System (DNS) filtering services.")</f>
        <v>Implement Domain Name System (DNS) filtering services.</v>
      </c>
    </row>
    <row r="151" spans="1:3">
      <c r="A151" s="100" t="str">
        <f ca="1">IFERROR(__xludf.DUMMYFUNCTION("""COMPUTED_VALUE"""),"SC.3.193")</f>
        <v>SC.3.193</v>
      </c>
      <c r="B151" s="68">
        <f ca="1">IFERROR(__xludf.DUMMYFUNCTION("""COMPUTED_VALUE"""),3)</f>
        <v>3</v>
      </c>
      <c r="C151" s="69" t="str">
        <f ca="1">IFERROR(__xludf.DUMMYFUNCTION("""COMPUTED_VALUE"""),"Implement a policy restricting the publication of CUI on externally owned, publicly accessible websites (e.g., forums, LinkedIn, Facebook, Twitter).")</f>
        <v>Implement a policy restricting the publication of CUI on externally owned, publicly accessible websites (e.g., forums, LinkedIn, Facebook, Twitter).</v>
      </c>
    </row>
    <row r="152" spans="1:3">
      <c r="A152" s="70" t="str">
        <f ca="1">IFERROR(__xludf.DUMMYFUNCTION("""COMPUTED_VALUE"""),"SC.4.197")</f>
        <v>SC.4.197</v>
      </c>
      <c r="B152" s="68">
        <f ca="1">IFERROR(__xludf.DUMMYFUNCTION("""COMPUTED_VALUE"""),4)</f>
        <v>4</v>
      </c>
      <c r="C152" s="69" t="str">
        <f ca="1">IFERROR(__xludf.DUMMYFUNCTION("""COMPUTED_VALUE"""),"Employ physical and logical isolation techniques in the system and security architecture and/or where deemed appropriate by the organization.")</f>
        <v>Employ physical and logical isolation techniques in the system and security architecture and/or where deemed appropriate by the organization.</v>
      </c>
    </row>
    <row r="153" spans="1:3">
      <c r="A153" s="70" t="str">
        <f ca="1">IFERROR(__xludf.DUMMYFUNCTION("""COMPUTED_VALUE"""),"SC.4.199")</f>
        <v>SC.4.199</v>
      </c>
      <c r="B153" s="68">
        <f ca="1">IFERROR(__xludf.DUMMYFUNCTION("""COMPUTED_VALUE"""),4)</f>
        <v>4</v>
      </c>
      <c r="C153" s="69" t="str">
        <f ca="1">IFERROR(__xludf.DUMMYFUNCTION("""COMPUTED_VALUE"""),"Utilize threat intelligence to proactively block DNS requests from reaching malicious domains.")</f>
        <v>Utilize threat intelligence to proactively block DNS requests from reaching malicious domains.</v>
      </c>
    </row>
    <row r="154" spans="1:3">
      <c r="A154" s="70" t="str">
        <f ca="1">IFERROR(__xludf.DUMMYFUNCTION("""COMPUTED_VALUE"""),"SC.4.202")</f>
        <v>SC.4.202</v>
      </c>
      <c r="B154" s="68">
        <f ca="1">IFERROR(__xludf.DUMMYFUNCTION("""COMPUTED_VALUE"""),4)</f>
        <v>4</v>
      </c>
      <c r="C154" s="69" t="str">
        <f ca="1">IFERROR(__xludf.DUMMYFUNCTION("""COMPUTED_VALUE"""),"Employ mechanisms to analyze executable code and scripts (e.g., sandbox) traversing Internet network boundaries or other organizationally defined boundaries.")</f>
        <v>Employ mechanisms to analyze executable code and scripts (e.g., sandbox) traversing Internet network boundaries or other organizationally defined boundaries.</v>
      </c>
    </row>
    <row r="155" spans="1:3">
      <c r="A155" s="70" t="str">
        <f ca="1">IFERROR(__xludf.DUMMYFUNCTION("""COMPUTED_VALUE"""),"SC.4.228")</f>
        <v>SC.4.228</v>
      </c>
      <c r="B155" s="68">
        <f ca="1">IFERROR(__xludf.DUMMYFUNCTION("""COMPUTED_VALUE"""),4)</f>
        <v>4</v>
      </c>
      <c r="C155" s="69" t="str">
        <f ca="1">IFERROR(__xludf.DUMMYFUNCTION("""COMPUTED_VALUE"""),"Isolate administration of organizationally defined high-value critical network infrastructure components and servers.")</f>
        <v>Isolate administration of organizationally defined high-value critical network infrastructure components and servers.</v>
      </c>
    </row>
    <row r="156" spans="1:3">
      <c r="A156" s="70" t="str">
        <f ca="1">IFERROR(__xludf.DUMMYFUNCTION("""COMPUTED_VALUE"""),"SC.4.229")</f>
        <v>SC.4.229</v>
      </c>
      <c r="B156" s="68">
        <f ca="1">IFERROR(__xludf.DUMMYFUNCTION("""COMPUTED_VALUE"""),4)</f>
        <v>4</v>
      </c>
      <c r="C156" s="69" t="str">
        <f ca="1">IFERROR(__xludf.DUMMYFUNCTION("""COMPUTED_VALUE"""),"Utilize a URL categorization service and implement techniques to enforce URL filtering of websites that are not approved by the organization.")</f>
        <v>Utilize a URL categorization service and implement techniques to enforce URL filtering of websites that are not approved by the organization.</v>
      </c>
    </row>
    <row r="157" spans="1:3">
      <c r="A157" s="70" t="str">
        <f ca="1">IFERROR(__xludf.DUMMYFUNCTION("""COMPUTED_VALUE"""),"SC.5.198")</f>
        <v>SC.5.198</v>
      </c>
      <c r="B157" s="68">
        <f ca="1">IFERROR(__xludf.DUMMYFUNCTION("""COMPUTED_VALUE"""),5)</f>
        <v>5</v>
      </c>
      <c r="C157" s="69" t="str">
        <f ca="1">IFERROR(__xludf.DUMMYFUNCTION("""COMPUTED_VALUE"""),"Configure monitoring systems to record packets passing through the organization's Internet network boundaries and other organizationally defined boundaries.")</f>
        <v>Configure monitoring systems to record packets passing through the organization's Internet network boundaries and other organizationally defined boundaries.</v>
      </c>
    </row>
    <row r="158" spans="1:3">
      <c r="A158" s="70" t="str">
        <f ca="1">IFERROR(__xludf.DUMMYFUNCTION("""COMPUTED_VALUE"""),"SC.5.208")</f>
        <v>SC.5.208</v>
      </c>
      <c r="B158" s="68">
        <f ca="1">IFERROR(__xludf.DUMMYFUNCTION("""COMPUTED_VALUE"""),5)</f>
        <v>5</v>
      </c>
      <c r="C158" s="69" t="str">
        <f ca="1">IFERROR(__xludf.DUMMYFUNCTION("""COMPUTED_VALUE"""),"Employ organizationally defined and tailored boundary protections in addition to commercially available solutions.")</f>
        <v>Employ organizationally defined and tailored boundary protections in addition to commercially available solutions.</v>
      </c>
    </row>
    <row r="159" spans="1:3">
      <c r="A159" s="70" t="str">
        <f ca="1">IFERROR(__xludf.DUMMYFUNCTION("""COMPUTED_VALUE"""),"SC.5.230")</f>
        <v>SC.5.230</v>
      </c>
      <c r="B159" s="68">
        <f ca="1">IFERROR(__xludf.DUMMYFUNCTION("""COMPUTED_VALUE"""),5)</f>
        <v>5</v>
      </c>
      <c r="C159" s="69" t="str">
        <f ca="1">IFERROR(__xludf.DUMMYFUNCTION("""COMPUTED_VALUE"""),"Enforce port and protocol compliance.")</f>
        <v>Enforce port and protocol compliance.</v>
      </c>
    </row>
    <row r="160" spans="1:3">
      <c r="A160" s="68" t="str">
        <f ca="1">IFERROR(__xludf.DUMMYFUNCTION("QUERY(catalog, ""SELECT D, C, E WHERE B = 'SI' ORDER BY C, A"", 0)"),"SI.1.210")</f>
        <v>SI.1.210</v>
      </c>
      <c r="B160" s="68">
        <f ca="1">IFERROR(__xludf.DUMMYFUNCTION("""COMPUTED_VALUE"""),1)</f>
        <v>1</v>
      </c>
      <c r="C160" s="69" t="str">
        <f ca="1">IFERROR(__xludf.DUMMYFUNCTION("""COMPUTED_VALUE"""),"Identify, report, and correct information and information system flaws in a timely manner.")</f>
        <v>Identify, report, and correct information and information system flaws in a timely manner.</v>
      </c>
    </row>
    <row r="161" spans="1:3">
      <c r="A161" s="70" t="str">
        <f ca="1">IFERROR(__xludf.DUMMYFUNCTION("""COMPUTED_VALUE"""),"SI.1.211")</f>
        <v>SI.1.211</v>
      </c>
      <c r="B161" s="68">
        <f ca="1">IFERROR(__xludf.DUMMYFUNCTION("""COMPUTED_VALUE"""),1)</f>
        <v>1</v>
      </c>
      <c r="C161" s="69" t="str">
        <f ca="1">IFERROR(__xludf.DUMMYFUNCTION("""COMPUTED_VALUE"""),"Provide protection from malicious code at appropriate locations within organizational information systems.")</f>
        <v>Provide protection from malicious code at appropriate locations within organizational information systems.</v>
      </c>
    </row>
    <row r="162" spans="1:3">
      <c r="A162" s="70" t="str">
        <f ca="1">IFERROR(__xludf.DUMMYFUNCTION("""COMPUTED_VALUE"""),"SI.1.212")</f>
        <v>SI.1.212</v>
      </c>
      <c r="B162" s="68">
        <f ca="1">IFERROR(__xludf.DUMMYFUNCTION("""COMPUTED_VALUE"""),1)</f>
        <v>1</v>
      </c>
      <c r="C162" s="69" t="str">
        <f ca="1">IFERROR(__xludf.DUMMYFUNCTION("""COMPUTED_VALUE"""),"Update malicious code protection mechanisms when new releases are available.")</f>
        <v>Update malicious code protection mechanisms when new releases are available.</v>
      </c>
    </row>
    <row r="163" spans="1:3">
      <c r="A163" s="70" t="str">
        <f ca="1">IFERROR(__xludf.DUMMYFUNCTION("""COMPUTED_VALUE"""),"SI.1.213")</f>
        <v>SI.1.213</v>
      </c>
      <c r="B163" s="68">
        <f ca="1">IFERROR(__xludf.DUMMYFUNCTION("""COMPUTED_VALUE"""),1)</f>
        <v>1</v>
      </c>
      <c r="C163" s="69" t="str">
        <f ca="1">IFERROR(__xludf.DUMMYFUNCTION("""COMPUTED_VALUE"""),"Perform periodic scans of the information system and real-time scans of files from external sources as files are downloaded, opened, or executed.")</f>
        <v>Perform periodic scans of the information system and real-time scans of files from external sources as files are downloaded, opened, or executed.</v>
      </c>
    </row>
    <row r="164" spans="1:3">
      <c r="A164" s="70" t="str">
        <f ca="1">IFERROR(__xludf.DUMMYFUNCTION("""COMPUTED_VALUE"""),"SI.2.214")</f>
        <v>SI.2.214</v>
      </c>
      <c r="B164" s="68">
        <f ca="1">IFERROR(__xludf.DUMMYFUNCTION("""COMPUTED_VALUE"""),2)</f>
        <v>2</v>
      </c>
      <c r="C164" s="69" t="str">
        <f ca="1">IFERROR(__xludf.DUMMYFUNCTION("""COMPUTED_VALUE"""),"Monitor system security alerts and advisories and take action in response.")</f>
        <v>Monitor system security alerts and advisories and take action in response.</v>
      </c>
    </row>
    <row r="165" spans="1:3">
      <c r="A165" s="70" t="str">
        <f ca="1">IFERROR(__xludf.DUMMYFUNCTION("""COMPUTED_VALUE"""),"SI.2.216")</f>
        <v>SI.2.216</v>
      </c>
      <c r="B165" s="68">
        <f ca="1">IFERROR(__xludf.DUMMYFUNCTION("""COMPUTED_VALUE"""),2)</f>
        <v>2</v>
      </c>
      <c r="C165" s="69" t="str">
        <f ca="1">IFERROR(__xludf.DUMMYFUNCTION("""COMPUTED_VALUE"""),"Monitor organizational systems, including inbound and outbound communications traffic, to detect attacks and indicators of potential attacks.")</f>
        <v>Monitor organizational systems, including inbound and outbound communications traffic, to detect attacks and indicators of potential attacks.</v>
      </c>
    </row>
    <row r="166" spans="1:3">
      <c r="A166" s="70" t="str">
        <f ca="1">IFERROR(__xludf.DUMMYFUNCTION("""COMPUTED_VALUE"""),"SI.2.217")</f>
        <v>SI.2.217</v>
      </c>
      <c r="B166" s="68">
        <f ca="1">IFERROR(__xludf.DUMMYFUNCTION("""COMPUTED_VALUE"""),2)</f>
        <v>2</v>
      </c>
      <c r="C166" s="69" t="str">
        <f ca="1">IFERROR(__xludf.DUMMYFUNCTION("""COMPUTED_VALUE"""),"Identify unauthorized use of organizational systems.")</f>
        <v>Identify unauthorized use of organizational systems.</v>
      </c>
    </row>
    <row r="167" spans="1:3">
      <c r="A167" s="100" t="str">
        <f ca="1">IFERROR(__xludf.DUMMYFUNCTION("""COMPUTED_VALUE"""),"SI.3.218")</f>
        <v>SI.3.218</v>
      </c>
      <c r="B167" s="68">
        <f ca="1">IFERROR(__xludf.DUMMYFUNCTION("""COMPUTED_VALUE"""),3)</f>
        <v>3</v>
      </c>
      <c r="C167" s="69" t="str">
        <f ca="1">IFERROR(__xludf.DUMMYFUNCTION("""COMPUTED_VALUE"""),"Employ spam protection mechanisms at information system access entry and exit points.")</f>
        <v>Employ spam protection mechanisms at information system access entry and exit points.</v>
      </c>
    </row>
    <row r="168" spans="1:3">
      <c r="A168" s="100" t="str">
        <f ca="1">IFERROR(__xludf.DUMMYFUNCTION("""COMPUTED_VALUE"""),"SI.3.219")</f>
        <v>SI.3.219</v>
      </c>
      <c r="B168" s="68">
        <f ca="1">IFERROR(__xludf.DUMMYFUNCTION("""COMPUTED_VALUE"""),3)</f>
        <v>3</v>
      </c>
      <c r="C168" s="69" t="str">
        <f ca="1">IFERROR(__xludf.DUMMYFUNCTION("""COMPUTED_VALUE"""),"Implement email forgery protections.")</f>
        <v>Implement email forgery protections.</v>
      </c>
    </row>
    <row r="169" spans="1:3">
      <c r="A169" s="100" t="str">
        <f ca="1">IFERROR(__xludf.DUMMYFUNCTION("""COMPUTED_VALUE"""),"SI.3.220")</f>
        <v>SI.3.220</v>
      </c>
      <c r="B169" s="68">
        <f ca="1">IFERROR(__xludf.DUMMYFUNCTION("""COMPUTED_VALUE"""),3)</f>
        <v>3</v>
      </c>
      <c r="C169" s="69" t="str">
        <f ca="1">IFERROR(__xludf.DUMMYFUNCTION("""COMPUTED_VALUE"""),"Utilize sandboxing to detect or block potentially malicious email.")</f>
        <v>Utilize sandboxing to detect or block potentially malicious email.</v>
      </c>
    </row>
    <row r="170" spans="1:3" ht="26.25">
      <c r="A170" s="70" t="str">
        <f ca="1">IFERROR(__xludf.DUMMYFUNCTION("""COMPUTED_VALUE"""),"SI.4.221")</f>
        <v>SI.4.221</v>
      </c>
      <c r="B170" s="68">
        <f ca="1">IFERROR(__xludf.DUMMYFUNCTION("""COMPUTED_VALUE"""),4)</f>
        <v>4</v>
      </c>
      <c r="C170" s="69" t="str">
        <f ca="1">IFERROR(__xludf.DUMMYFUNCTION("""COMPUTED_VALUE"""),"Use threat indicator information relevant to the information and systems being protected and effective mitigations obtained from external organizations to inform intrusion detection and threat hunting.")</f>
        <v>Use threat indicator information relevant to the information and systems being protected and effective mitigations obtained from external organizations to inform intrusion detection and threat hunting.</v>
      </c>
    </row>
    <row r="171" spans="1:3">
      <c r="A171" s="70" t="str">
        <f ca="1">IFERROR(__xludf.DUMMYFUNCTION("""COMPUTED_VALUE"""),"SI.5.222")</f>
        <v>SI.5.222</v>
      </c>
      <c r="B171" s="68">
        <f ca="1">IFERROR(__xludf.DUMMYFUNCTION("""COMPUTED_VALUE"""),5)</f>
        <v>5</v>
      </c>
      <c r="C171" s="69" t="str">
        <f ca="1">IFERROR(__xludf.DUMMYFUNCTION("""COMPUTED_VALUE"""),"Analyze system behavior to detect and mitigate execution of normal system commands and scripts that indicate malicious actions.")</f>
        <v>Analyze system behavior to detect and mitigate execution of normal system commands and scripts that indicate malicious actions.</v>
      </c>
    </row>
    <row r="172" spans="1:3">
      <c r="A172" s="70" t="str">
        <f ca="1">IFERROR(__xludf.DUMMYFUNCTION("""COMPUTED_VALUE"""),"SI.5.223")</f>
        <v>SI.5.223</v>
      </c>
      <c r="B172" s="68">
        <f ca="1">IFERROR(__xludf.DUMMYFUNCTION("""COMPUTED_VALUE"""),5)</f>
        <v>5</v>
      </c>
      <c r="C172" s="69" t="str">
        <f ca="1">IFERROR(__xludf.DUMMYFUNCTION("""COMPUTED_VALUE"""),"Monitor individuals and system components on an ongoing basis for anomalous or suspicious behavior.")</f>
        <v>Monitor individuals and system components on an ongoing basis for anomalous or suspicious behavior.</v>
      </c>
    </row>
  </sheetData>
  <autoFilter ref="A1:C172" xr:uid="{550D2655-09C8-4B97-8C84-2BD0F407F3C9}"/>
  <sortState xmlns:xlrd2="http://schemas.microsoft.com/office/spreadsheetml/2017/richdata2" ref="A2:I172">
    <sortCondition ref="A2:A172"/>
  </sortState>
  <conditionalFormatting sqref="B2:B32 B170:B172">
    <cfRule type="expression" dxfId="23" priority="33">
      <formula>AND($G2, OR(ISTEXT($D2), ISTEXT($E2)))</formula>
    </cfRule>
  </conditionalFormatting>
  <conditionalFormatting sqref="A2:C32 A170:C172">
    <cfRule type="expression" dxfId="22" priority="34">
      <formula>$G2</formula>
    </cfRule>
  </conditionalFormatting>
  <conditionalFormatting sqref="B33:B39">
    <cfRule type="expression" dxfId="21" priority="31">
      <formula>AND($G33, OR(ISTEXT($D33), ISTEXT($E33)))</formula>
    </cfRule>
  </conditionalFormatting>
  <conditionalFormatting sqref="A33:C39">
    <cfRule type="expression" dxfId="20" priority="32">
      <formula>$G33</formula>
    </cfRule>
  </conditionalFormatting>
  <conditionalFormatting sqref="B40:B58">
    <cfRule type="expression" dxfId="19" priority="29">
      <formula>AND($G40, OR(ISTEXT($D40), ISTEXT($E40)))</formula>
    </cfRule>
  </conditionalFormatting>
  <conditionalFormatting sqref="A40:C58">
    <cfRule type="expression" dxfId="18" priority="30">
      <formula>$G40</formula>
    </cfRule>
  </conditionalFormatting>
  <conditionalFormatting sqref="B59:B68">
    <cfRule type="expression" dxfId="17" priority="27">
      <formula>AND($G59, OR(ISTEXT($D59), ISTEXT($E59)))</formula>
    </cfRule>
  </conditionalFormatting>
  <conditionalFormatting sqref="A59:C68">
    <cfRule type="expression" dxfId="16" priority="28">
      <formula>$G59</formula>
    </cfRule>
  </conditionalFormatting>
  <conditionalFormatting sqref="B69:B84">
    <cfRule type="expression" dxfId="15" priority="25">
      <formula>AND($G69, OR(ISTEXT($D69), ISTEXT($E69)))</formula>
    </cfRule>
  </conditionalFormatting>
  <conditionalFormatting sqref="A69:C84">
    <cfRule type="expression" dxfId="14" priority="26">
      <formula>$G69</formula>
    </cfRule>
  </conditionalFormatting>
  <conditionalFormatting sqref="B85:B100">
    <cfRule type="expression" dxfId="13" priority="23">
      <formula>AND($G85, OR(ISTEXT($D85), ISTEXT($E85)))</formula>
    </cfRule>
  </conditionalFormatting>
  <conditionalFormatting sqref="A85:C100">
    <cfRule type="expression" dxfId="12" priority="24">
      <formula>$G85</formula>
    </cfRule>
  </conditionalFormatting>
  <conditionalFormatting sqref="B101:B118">
    <cfRule type="expression" dxfId="11" priority="21">
      <formula>AND($G101, OR(ISTEXT($D101), ISTEXT($E101)))</formula>
    </cfRule>
  </conditionalFormatting>
  <conditionalFormatting sqref="A101:C118">
    <cfRule type="expression" dxfId="10" priority="22">
      <formula>$G101</formula>
    </cfRule>
  </conditionalFormatting>
  <conditionalFormatting sqref="B119:B129">
    <cfRule type="expression" dxfId="9" priority="19">
      <formula>AND($G119, OR(ISTEXT($D119), ISTEXT($E119)))</formula>
    </cfRule>
  </conditionalFormatting>
  <conditionalFormatting sqref="A119:C129">
    <cfRule type="expression" dxfId="8" priority="20">
      <formula>$G119</formula>
    </cfRule>
  </conditionalFormatting>
  <conditionalFormatting sqref="B130:B142">
    <cfRule type="expression" dxfId="7" priority="17">
      <formula>AND($G130, OR(ISTEXT($D130), ISTEXT($E130)))</formula>
    </cfRule>
  </conditionalFormatting>
  <conditionalFormatting sqref="A130:C142">
    <cfRule type="expression" dxfId="6" priority="18">
      <formula>$G130</formula>
    </cfRule>
  </conditionalFormatting>
  <conditionalFormatting sqref="B143:B149">
    <cfRule type="expression" dxfId="5" priority="15">
      <formula>AND($G143, OR(ISTEXT($D143), ISTEXT($E143)))</formula>
    </cfRule>
  </conditionalFormatting>
  <conditionalFormatting sqref="A143:C149">
    <cfRule type="expression" dxfId="4" priority="16">
      <formula>$G143</formula>
    </cfRule>
  </conditionalFormatting>
  <conditionalFormatting sqref="B150:B160">
    <cfRule type="expression" dxfId="3" priority="13">
      <formula>AND($G150, OR(ISTEXT($D150), ISTEXT($E150)))</formula>
    </cfRule>
  </conditionalFormatting>
  <conditionalFormatting sqref="A150:C160">
    <cfRule type="expression" dxfId="2" priority="14">
      <formula>$G150</formula>
    </cfRule>
  </conditionalFormatting>
  <conditionalFormatting sqref="B161:B169">
    <cfRule type="expression" dxfId="1" priority="11">
      <formula>AND($G161, OR(ISTEXT($D161), ISTEXT($E161)))</formula>
    </cfRule>
  </conditionalFormatting>
  <conditionalFormatting sqref="A161:C169">
    <cfRule type="expression" dxfId="0" priority="12">
      <formula>$G161</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6"/>
  <sheetViews>
    <sheetView zoomScale="120" zoomScaleNormal="120" zoomScalePageLayoutView="60" workbookViewId="0">
      <selection activeCell="D4" sqref="D4"/>
    </sheetView>
  </sheetViews>
  <sheetFormatPr defaultColWidth="10.625" defaultRowHeight="15.75"/>
  <cols>
    <col min="1" max="1" width="34.625" style="19" customWidth="1"/>
    <col min="2" max="6" width="34.125" style="12" customWidth="1"/>
    <col min="7" max="7" width="14.375" style="12" customWidth="1"/>
    <col min="8" max="16384" width="10.625" style="12"/>
  </cols>
  <sheetData>
    <row r="1" spans="1:6" s="9" customFormat="1" ht="31.5">
      <c r="A1" s="110" t="s">
        <v>65</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94.45" customHeight="1">
      <c r="A4" s="109" t="s">
        <v>66</v>
      </c>
      <c r="B4" s="22"/>
      <c r="C4" s="13"/>
      <c r="D4" s="13" t="s">
        <v>204</v>
      </c>
      <c r="E4" s="13" t="s">
        <v>205</v>
      </c>
      <c r="F4" s="22"/>
    </row>
    <row r="5" spans="1:6" s="18" customFormat="1" ht="102.6" customHeight="1">
      <c r="A5" s="109"/>
      <c r="B5" s="13"/>
      <c r="C5" s="13"/>
      <c r="D5" s="13"/>
      <c r="E5" s="13" t="s">
        <v>206</v>
      </c>
      <c r="F5" s="13"/>
    </row>
    <row r="6" spans="1:6" s="18" customFormat="1">
      <c r="B6" s="25"/>
      <c r="F6" s="25"/>
    </row>
  </sheetData>
  <sheetProtection selectLockedCells="1" sort="0" selectUnlockedCells="1"/>
  <mergeCells count="4">
    <mergeCell ref="A1:F1"/>
    <mergeCell ref="A2:A3"/>
    <mergeCell ref="B2:F2"/>
    <mergeCell ref="A4:A5"/>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0"/>
  <sheetViews>
    <sheetView topLeftCell="A16" zoomScaleNormal="100" zoomScalePageLayoutView="50" workbookViewId="0">
      <selection activeCell="B18" sqref="B18"/>
    </sheetView>
  </sheetViews>
  <sheetFormatPr defaultColWidth="10.625" defaultRowHeight="15.75"/>
  <cols>
    <col min="1" max="1" width="34.625" style="19" customWidth="1"/>
    <col min="2" max="6" width="34.125" style="12" customWidth="1"/>
    <col min="7" max="16384" width="10.625" style="12"/>
  </cols>
  <sheetData>
    <row r="1" spans="1:6" s="9" customFormat="1" ht="31.5">
      <c r="A1" s="110" t="s">
        <v>67</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21" customFormat="1" ht="166.5" customHeight="1">
      <c r="A4" s="109" t="s">
        <v>84</v>
      </c>
      <c r="B4" s="16"/>
      <c r="C4" s="14" t="s">
        <v>209</v>
      </c>
      <c r="D4" s="14" t="s">
        <v>210</v>
      </c>
      <c r="E4" s="14" t="s">
        <v>244</v>
      </c>
      <c r="F4" s="13" t="s">
        <v>227</v>
      </c>
    </row>
    <row r="5" spans="1:6" s="18" customFormat="1" ht="166.5" customHeight="1">
      <c r="A5" s="109"/>
      <c r="B5" s="16"/>
      <c r="C5" s="14" t="s">
        <v>246</v>
      </c>
      <c r="D5" s="14" t="s">
        <v>211</v>
      </c>
      <c r="E5" s="13" t="s">
        <v>224</v>
      </c>
      <c r="F5" s="13" t="s">
        <v>255</v>
      </c>
    </row>
    <row r="6" spans="1:6" s="18" customFormat="1" ht="134.25" customHeight="1">
      <c r="A6" s="109"/>
      <c r="B6" s="13"/>
      <c r="C6" s="13"/>
      <c r="D6" s="14" t="s">
        <v>212</v>
      </c>
      <c r="E6" s="13"/>
      <c r="F6" s="16"/>
    </row>
    <row r="7" spans="1:6" s="18" customFormat="1" ht="119.45" customHeight="1">
      <c r="A7" s="109"/>
      <c r="B7" s="13"/>
      <c r="C7" s="13"/>
      <c r="D7" s="14" t="s">
        <v>213</v>
      </c>
      <c r="E7" s="16"/>
      <c r="F7" s="16"/>
    </row>
    <row r="8" spans="1:6" s="18" customFormat="1" ht="119.1" customHeight="1">
      <c r="A8" s="109"/>
      <c r="B8" s="13"/>
      <c r="C8" s="13"/>
      <c r="D8" s="14" t="s">
        <v>214</v>
      </c>
      <c r="E8" s="13"/>
      <c r="F8" s="13"/>
    </row>
    <row r="9" spans="1:6" s="18" customFormat="1" ht="199.5" customHeight="1">
      <c r="A9" s="109"/>
      <c r="B9" s="13"/>
      <c r="C9" s="16"/>
      <c r="D9" s="14" t="s">
        <v>215</v>
      </c>
      <c r="E9" s="13"/>
      <c r="F9" s="13"/>
    </row>
    <row r="10" spans="1:6" s="18" customFormat="1" ht="172.5" customHeight="1">
      <c r="A10" s="109"/>
      <c r="B10" s="13"/>
      <c r="C10" s="16"/>
      <c r="D10" s="14" t="s">
        <v>216</v>
      </c>
      <c r="E10" s="13"/>
      <c r="F10" s="13"/>
    </row>
    <row r="11" spans="1:6" s="18" customFormat="1" ht="120" customHeight="1">
      <c r="A11" s="109"/>
      <c r="B11" s="13"/>
      <c r="C11" s="16"/>
      <c r="D11" s="14" t="s">
        <v>217</v>
      </c>
      <c r="E11" s="13"/>
      <c r="F11" s="13"/>
    </row>
    <row r="12" spans="1:6" s="18" customFormat="1" ht="119.25" customHeight="1">
      <c r="A12" s="109"/>
      <c r="B12" s="13"/>
      <c r="C12" s="16"/>
      <c r="D12" s="14" t="s">
        <v>218</v>
      </c>
      <c r="E12" s="13"/>
      <c r="F12" s="13"/>
    </row>
    <row r="13" spans="1:6" s="18" customFormat="1" ht="119.25" customHeight="1">
      <c r="A13" s="109"/>
      <c r="B13" s="13"/>
      <c r="C13" s="16"/>
      <c r="D13" s="14" t="s">
        <v>219</v>
      </c>
      <c r="E13" s="13"/>
      <c r="F13" s="13"/>
    </row>
    <row r="14" spans="1:6" s="18" customFormat="1" ht="109.5" customHeight="1">
      <c r="A14" s="109"/>
      <c r="B14" s="13"/>
      <c r="C14" s="14"/>
      <c r="D14" s="14" t="s">
        <v>220</v>
      </c>
      <c r="E14" s="13"/>
      <c r="F14" s="13"/>
    </row>
    <row r="15" spans="1:6" s="18" customFormat="1" ht="90.75" customHeight="1">
      <c r="A15" s="109"/>
      <c r="B15" s="13"/>
      <c r="C15" s="14"/>
      <c r="D15" s="14" t="s">
        <v>221</v>
      </c>
      <c r="E15" s="13"/>
      <c r="F15" s="13"/>
    </row>
    <row r="16" spans="1:6" s="18" customFormat="1" ht="122.45" customHeight="1">
      <c r="A16" s="109"/>
      <c r="B16" s="13"/>
      <c r="C16" s="14"/>
      <c r="D16" s="14" t="s">
        <v>222</v>
      </c>
      <c r="E16" s="13"/>
      <c r="F16" s="13"/>
    </row>
    <row r="17" spans="1:6" s="18" customFormat="1" ht="212.1" customHeight="1">
      <c r="A17" s="114" t="s">
        <v>85</v>
      </c>
      <c r="B17" s="26" t="s">
        <v>207</v>
      </c>
      <c r="C17" s="23"/>
      <c r="D17" s="26" t="s">
        <v>223</v>
      </c>
      <c r="E17" s="26" t="s">
        <v>68</v>
      </c>
      <c r="F17" s="26" t="s">
        <v>69</v>
      </c>
    </row>
    <row r="18" spans="1:6" s="18" customFormat="1" ht="183.75" customHeight="1">
      <c r="A18" s="114"/>
      <c r="B18" s="26" t="s">
        <v>208</v>
      </c>
      <c r="C18" s="27"/>
      <c r="D18" s="26" t="s">
        <v>70</v>
      </c>
      <c r="E18" s="26" t="s">
        <v>225</v>
      </c>
      <c r="F18" s="27"/>
    </row>
    <row r="19" spans="1:6" s="18" customFormat="1" ht="120.95" customHeight="1">
      <c r="A19" s="114"/>
      <c r="B19" s="23"/>
      <c r="C19" s="26"/>
      <c r="D19" s="27"/>
      <c r="E19" s="26" t="s">
        <v>226</v>
      </c>
      <c r="F19" s="23"/>
    </row>
    <row r="20" spans="1:6" ht="18" customHeight="1">
      <c r="A20" s="17"/>
      <c r="E20" s="39"/>
    </row>
  </sheetData>
  <sheetProtection selectLockedCells="1" sort="0" selectUnlockedCells="1"/>
  <mergeCells count="5">
    <mergeCell ref="A17:A19"/>
    <mergeCell ref="A2:A3"/>
    <mergeCell ref="A1:F1"/>
    <mergeCell ref="B2:F2"/>
    <mergeCell ref="A4:A16"/>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12"/>
  <sheetViews>
    <sheetView topLeftCell="A7" zoomScale="54" zoomScaleNormal="54" zoomScalePageLayoutView="60" workbookViewId="0">
      <selection activeCell="C4" sqref="C4:C5"/>
    </sheetView>
  </sheetViews>
  <sheetFormatPr defaultColWidth="10.625" defaultRowHeight="15.75"/>
  <cols>
    <col min="1" max="1" width="34.625" style="19" customWidth="1"/>
    <col min="2" max="6" width="34.125" style="12" customWidth="1"/>
    <col min="7" max="16384" width="10.625" style="12"/>
  </cols>
  <sheetData>
    <row r="1" spans="1:6" s="9" customFormat="1" ht="30.95" customHeight="1">
      <c r="A1" s="116" t="s">
        <v>71</v>
      </c>
      <c r="B1" s="117"/>
      <c r="C1" s="117"/>
      <c r="D1" s="117"/>
      <c r="E1" s="117"/>
      <c r="F1" s="118"/>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186.75" customHeight="1">
      <c r="A4" s="13" t="s">
        <v>86</v>
      </c>
      <c r="B4" s="13" t="s">
        <v>228</v>
      </c>
      <c r="C4" s="13" t="s">
        <v>232</v>
      </c>
      <c r="D4" s="13"/>
      <c r="E4" s="13" t="s">
        <v>238</v>
      </c>
      <c r="F4" s="13"/>
    </row>
    <row r="5" spans="1:6" s="18" customFormat="1" ht="180.95" customHeight="1">
      <c r="A5" s="114" t="s">
        <v>87</v>
      </c>
      <c r="B5" s="23" t="s">
        <v>229</v>
      </c>
      <c r="C5" s="23"/>
      <c r="D5" s="23"/>
      <c r="E5" s="24"/>
      <c r="F5" s="23" t="s">
        <v>72</v>
      </c>
    </row>
    <row r="6" spans="1:6" s="18" customFormat="1" ht="171" customHeight="1">
      <c r="A6" s="114"/>
      <c r="B6" s="23" t="s">
        <v>231</v>
      </c>
      <c r="C6" s="23"/>
      <c r="D6" s="23"/>
      <c r="E6" s="23"/>
      <c r="F6" s="23"/>
    </row>
    <row r="7" spans="1:6" s="18" customFormat="1" ht="201" customHeight="1">
      <c r="A7" s="114"/>
      <c r="B7" s="23" t="s">
        <v>230</v>
      </c>
      <c r="C7" s="23"/>
      <c r="D7" s="23"/>
      <c r="E7" s="23"/>
      <c r="F7" s="23"/>
    </row>
    <row r="8" spans="1:6" s="18" customFormat="1" ht="186" customHeight="1">
      <c r="A8" s="115" t="s">
        <v>88</v>
      </c>
      <c r="B8" s="13"/>
      <c r="C8" s="13" t="s">
        <v>233</v>
      </c>
      <c r="D8" s="13" t="s">
        <v>235</v>
      </c>
      <c r="E8" s="22"/>
      <c r="F8" s="13" t="s">
        <v>239</v>
      </c>
    </row>
    <row r="9" spans="1:6" s="18" customFormat="1" ht="122.45" customHeight="1">
      <c r="A9" s="115"/>
      <c r="B9" s="13"/>
      <c r="C9" s="13" t="s">
        <v>234</v>
      </c>
      <c r="D9" s="13"/>
      <c r="E9" s="22"/>
      <c r="F9" s="13"/>
    </row>
    <row r="10" spans="1:6" s="18" customFormat="1" ht="126.75" customHeight="1">
      <c r="A10" s="114" t="s">
        <v>89</v>
      </c>
      <c r="B10" s="23"/>
      <c r="C10" s="23"/>
      <c r="D10" s="23" t="s">
        <v>236</v>
      </c>
      <c r="E10" s="24"/>
      <c r="F10" s="24"/>
    </row>
    <row r="11" spans="1:6" s="40" customFormat="1" ht="88.5" customHeight="1">
      <c r="A11" s="114"/>
      <c r="B11" s="23"/>
      <c r="C11" s="23"/>
      <c r="D11" s="23" t="s">
        <v>237</v>
      </c>
      <c r="E11" s="24"/>
      <c r="F11" s="23"/>
    </row>
    <row r="12" spans="1:6" s="18" customFormat="1">
      <c r="A12" s="17"/>
      <c r="E12" s="37"/>
    </row>
  </sheetData>
  <sheetProtection selectLockedCells="1" sort="0" selectUnlockedCells="1"/>
  <mergeCells count="6">
    <mergeCell ref="A1:F1"/>
    <mergeCell ref="A10:A11"/>
    <mergeCell ref="A2:A3"/>
    <mergeCell ref="A8:A9"/>
    <mergeCell ref="A5:A7"/>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A30C-FBE8-43F4-9F31-D9EF2DF787FC}">
  <sheetPr>
    <tabColor theme="9" tint="0.79998168889431442"/>
    <pageSetUpPr fitToPage="1"/>
  </sheetPr>
  <dimension ref="A1:T26"/>
  <sheetViews>
    <sheetView tabSelected="1" zoomScale="70" zoomScaleNormal="70" workbookViewId="0">
      <selection activeCell="P11" sqref="P11"/>
    </sheetView>
  </sheetViews>
  <sheetFormatPr defaultColWidth="16.625" defaultRowHeight="15.75"/>
  <cols>
    <col min="17" max="17" width="18.125" customWidth="1"/>
  </cols>
  <sheetData>
    <row r="1" spans="1:20" ht="63.75" thickBot="1">
      <c r="A1" s="103" t="s">
        <v>582</v>
      </c>
      <c r="B1" s="79" t="s">
        <v>258</v>
      </c>
      <c r="C1" s="92" t="s">
        <v>259</v>
      </c>
      <c r="D1" s="55" t="s">
        <v>262</v>
      </c>
      <c r="E1" s="84" t="s">
        <v>260</v>
      </c>
      <c r="F1" s="79" t="s">
        <v>261</v>
      </c>
      <c r="G1" s="84" t="s">
        <v>263</v>
      </c>
      <c r="H1" s="79" t="s">
        <v>264</v>
      </c>
      <c r="I1" s="84" t="s">
        <v>265</v>
      </c>
      <c r="J1" s="84" t="s">
        <v>266</v>
      </c>
      <c r="K1" s="84" t="s">
        <v>267</v>
      </c>
      <c r="L1" s="84" t="s">
        <v>268</v>
      </c>
      <c r="M1" s="81" t="s">
        <v>269</v>
      </c>
      <c r="N1" s="79" t="s">
        <v>270</v>
      </c>
      <c r="O1" s="84" t="s">
        <v>271</v>
      </c>
      <c r="P1" s="92" t="s">
        <v>272</v>
      </c>
      <c r="Q1" s="79" t="s">
        <v>273</v>
      </c>
      <c r="R1" s="79" t="s">
        <v>274</v>
      </c>
      <c r="S1" s="47"/>
    </row>
    <row r="2" spans="1:20" ht="63.75" thickBot="1">
      <c r="A2" s="104"/>
      <c r="B2" s="94" t="s">
        <v>594</v>
      </c>
      <c r="C2" s="95"/>
      <c r="D2" s="94" t="s">
        <v>595</v>
      </c>
      <c r="E2" s="95"/>
      <c r="F2" s="94" t="s">
        <v>596</v>
      </c>
      <c r="G2" s="96"/>
      <c r="H2" s="94" t="s">
        <v>597</v>
      </c>
      <c r="I2" s="96"/>
      <c r="J2" s="96"/>
      <c r="K2" s="96"/>
      <c r="L2" s="96"/>
      <c r="M2" s="97" t="s">
        <v>598</v>
      </c>
      <c r="N2" s="94" t="s">
        <v>599</v>
      </c>
      <c r="O2" s="96"/>
      <c r="P2" s="95"/>
      <c r="Q2" s="94" t="s">
        <v>600</v>
      </c>
      <c r="R2" s="94" t="s">
        <v>601</v>
      </c>
    </row>
    <row r="3" spans="1:20" ht="32.25" thickBot="1">
      <c r="A3" s="88" t="s">
        <v>605</v>
      </c>
      <c r="B3" s="78">
        <v>1</v>
      </c>
      <c r="C3" s="78">
        <v>0</v>
      </c>
      <c r="D3" s="78">
        <v>1</v>
      </c>
      <c r="E3" s="78">
        <v>0</v>
      </c>
      <c r="F3" s="78">
        <v>1</v>
      </c>
      <c r="G3" s="78">
        <v>0</v>
      </c>
      <c r="H3" s="78">
        <v>4</v>
      </c>
      <c r="I3" s="78">
        <v>0</v>
      </c>
      <c r="J3" s="78">
        <v>0</v>
      </c>
      <c r="K3" s="78">
        <v>0</v>
      </c>
      <c r="L3" s="78">
        <v>0</v>
      </c>
      <c r="M3" s="78">
        <v>1</v>
      </c>
      <c r="N3" s="78">
        <v>2</v>
      </c>
      <c r="O3" s="78">
        <v>0</v>
      </c>
      <c r="P3" s="78">
        <v>0</v>
      </c>
      <c r="Q3" s="78">
        <v>3</v>
      </c>
      <c r="R3" s="78">
        <v>2</v>
      </c>
      <c r="S3" s="57">
        <f>SUM(B3:R3)</f>
        <v>15</v>
      </c>
      <c r="T3" s="76">
        <f>SUM(T8+S3)</f>
        <v>171</v>
      </c>
    </row>
    <row r="4" spans="1:20" ht="32.25" thickBot="1">
      <c r="A4" s="89" t="s">
        <v>606</v>
      </c>
      <c r="B4" s="86">
        <f>SUM(B9+B3)</f>
        <v>26</v>
      </c>
      <c r="C4" s="86">
        <f t="shared" ref="C4:R4" si="0">SUM(C9+C3)</f>
        <v>2</v>
      </c>
      <c r="D4" s="86">
        <f t="shared" si="0"/>
        <v>14</v>
      </c>
      <c r="E4" s="86">
        <f t="shared" si="0"/>
        <v>5</v>
      </c>
      <c r="F4" s="86">
        <f t="shared" si="0"/>
        <v>11</v>
      </c>
      <c r="G4" s="86">
        <f t="shared" si="0"/>
        <v>11</v>
      </c>
      <c r="H4" s="86">
        <f t="shared" si="0"/>
        <v>13</v>
      </c>
      <c r="I4" s="86">
        <f t="shared" si="0"/>
        <v>6</v>
      </c>
      <c r="J4" s="86">
        <f t="shared" si="0"/>
        <v>8</v>
      </c>
      <c r="K4" s="86">
        <f t="shared" si="0"/>
        <v>2</v>
      </c>
      <c r="L4" s="86">
        <f t="shared" si="0"/>
        <v>6</v>
      </c>
      <c r="M4" s="86">
        <f t="shared" si="0"/>
        <v>4</v>
      </c>
      <c r="N4" s="86">
        <f t="shared" si="0"/>
        <v>12</v>
      </c>
      <c r="O4" s="86">
        <f t="shared" si="0"/>
        <v>8</v>
      </c>
      <c r="P4" s="86">
        <f t="shared" si="0"/>
        <v>3</v>
      </c>
      <c r="Q4" s="86">
        <f t="shared" si="0"/>
        <v>27</v>
      </c>
      <c r="R4" s="87">
        <f t="shared" si="0"/>
        <v>13</v>
      </c>
      <c r="S4" s="87">
        <f>SUM(B4:R4)</f>
        <v>171</v>
      </c>
      <c r="T4" s="75"/>
    </row>
    <row r="5" spans="1:20" ht="16.5" thickBot="1"/>
    <row r="6" spans="1:20" ht="63.75" thickBot="1">
      <c r="A6" s="103" t="s">
        <v>581</v>
      </c>
      <c r="B6" s="79" t="s">
        <v>258</v>
      </c>
      <c r="C6" s="81" t="s">
        <v>259</v>
      </c>
      <c r="D6" s="79" t="s">
        <v>262</v>
      </c>
      <c r="E6" s="79" t="s">
        <v>260</v>
      </c>
      <c r="F6" s="79" t="s">
        <v>261</v>
      </c>
      <c r="G6" s="84" t="s">
        <v>263</v>
      </c>
      <c r="H6" s="79" t="s">
        <v>264</v>
      </c>
      <c r="I6" s="84" t="s">
        <v>265</v>
      </c>
      <c r="J6" s="84" t="s">
        <v>266</v>
      </c>
      <c r="K6" s="84" t="s">
        <v>267</v>
      </c>
      <c r="L6" s="84" t="s">
        <v>268</v>
      </c>
      <c r="M6" s="92" t="s">
        <v>269</v>
      </c>
      <c r="N6" s="79" t="s">
        <v>270</v>
      </c>
      <c r="O6" s="79" t="s">
        <v>271</v>
      </c>
      <c r="P6" s="81" t="s">
        <v>272</v>
      </c>
      <c r="Q6" s="79" t="s">
        <v>273</v>
      </c>
      <c r="R6" s="79" t="s">
        <v>274</v>
      </c>
      <c r="S6" s="47"/>
    </row>
    <row r="7" spans="1:20" ht="79.5" thickBot="1">
      <c r="A7" s="104"/>
      <c r="B7" s="80" t="s">
        <v>583</v>
      </c>
      <c r="C7" s="99" t="s">
        <v>584</v>
      </c>
      <c r="D7" s="80" t="s">
        <v>586</v>
      </c>
      <c r="E7" s="80" t="s">
        <v>585</v>
      </c>
      <c r="F7" s="83" t="s">
        <v>588</v>
      </c>
      <c r="G7" s="91"/>
      <c r="H7" s="80" t="s">
        <v>589</v>
      </c>
      <c r="I7" s="91"/>
      <c r="J7" s="91"/>
      <c r="K7" s="91"/>
      <c r="L7" s="91"/>
      <c r="M7" s="93"/>
      <c r="N7" s="80" t="s">
        <v>590</v>
      </c>
      <c r="O7" s="80" t="s">
        <v>587</v>
      </c>
      <c r="P7" s="98" t="s">
        <v>591</v>
      </c>
      <c r="Q7" s="80" t="s">
        <v>592</v>
      </c>
      <c r="R7" s="83" t="s">
        <v>593</v>
      </c>
    </row>
    <row r="8" spans="1:20" ht="32.25" thickBot="1">
      <c r="A8" s="88" t="s">
        <v>605</v>
      </c>
      <c r="B8" s="78">
        <v>3</v>
      </c>
      <c r="C8" s="78">
        <v>1</v>
      </c>
      <c r="D8" s="78">
        <v>2</v>
      </c>
      <c r="E8" s="78">
        <v>2</v>
      </c>
      <c r="F8" s="78">
        <v>1</v>
      </c>
      <c r="G8" s="78">
        <v>0</v>
      </c>
      <c r="H8" s="78">
        <v>2</v>
      </c>
      <c r="I8" s="78">
        <v>0</v>
      </c>
      <c r="J8" s="78">
        <v>0</v>
      </c>
      <c r="K8" s="78">
        <v>0</v>
      </c>
      <c r="L8" s="78">
        <v>0</v>
      </c>
      <c r="M8" s="78">
        <v>0</v>
      </c>
      <c r="N8" s="78">
        <v>4</v>
      </c>
      <c r="O8" s="78">
        <v>3</v>
      </c>
      <c r="P8" s="78">
        <v>2</v>
      </c>
      <c r="Q8" s="78">
        <v>5</v>
      </c>
      <c r="R8" s="78">
        <v>1</v>
      </c>
      <c r="S8" s="57">
        <f>SUM(B8:R8)</f>
        <v>26</v>
      </c>
      <c r="T8" s="76">
        <f>SUM(T13+S8)</f>
        <v>156</v>
      </c>
    </row>
    <row r="9" spans="1:20" ht="32.25" thickBot="1">
      <c r="A9" s="89" t="s">
        <v>606</v>
      </c>
      <c r="B9" s="86">
        <f>SUM(B14+B8)</f>
        <v>25</v>
      </c>
      <c r="C9" s="86">
        <f t="shared" ref="C9:R9" si="1">SUM(C14+C8)</f>
        <v>2</v>
      </c>
      <c r="D9" s="86">
        <f t="shared" si="1"/>
        <v>13</v>
      </c>
      <c r="E9" s="86">
        <f t="shared" si="1"/>
        <v>5</v>
      </c>
      <c r="F9" s="86">
        <f t="shared" si="1"/>
        <v>10</v>
      </c>
      <c r="G9" s="86">
        <f t="shared" si="1"/>
        <v>11</v>
      </c>
      <c r="H9" s="86">
        <f t="shared" si="1"/>
        <v>9</v>
      </c>
      <c r="I9" s="86">
        <f t="shared" si="1"/>
        <v>6</v>
      </c>
      <c r="J9" s="86">
        <f t="shared" si="1"/>
        <v>8</v>
      </c>
      <c r="K9" s="86">
        <f t="shared" si="1"/>
        <v>2</v>
      </c>
      <c r="L9" s="86">
        <f t="shared" si="1"/>
        <v>6</v>
      </c>
      <c r="M9" s="86">
        <f t="shared" si="1"/>
        <v>3</v>
      </c>
      <c r="N9" s="86">
        <f t="shared" si="1"/>
        <v>10</v>
      </c>
      <c r="O9" s="86">
        <f t="shared" si="1"/>
        <v>8</v>
      </c>
      <c r="P9" s="86">
        <f t="shared" si="1"/>
        <v>3</v>
      </c>
      <c r="Q9" s="86">
        <f t="shared" si="1"/>
        <v>24</v>
      </c>
      <c r="R9" s="87">
        <f t="shared" si="1"/>
        <v>11</v>
      </c>
      <c r="S9" s="87">
        <f>SUM(B9:R9)</f>
        <v>156</v>
      </c>
      <c r="T9" s="75"/>
    </row>
    <row r="10" spans="1:20" ht="16.5" thickBot="1"/>
    <row r="11" spans="1:20" ht="63.75" thickBot="1">
      <c r="A11" s="103" t="s">
        <v>275</v>
      </c>
      <c r="B11" s="79" t="s">
        <v>258</v>
      </c>
      <c r="C11" s="81" t="s">
        <v>259</v>
      </c>
      <c r="D11" s="79" t="s">
        <v>262</v>
      </c>
      <c r="E11" s="79" t="s">
        <v>260</v>
      </c>
      <c r="F11" s="79" t="s">
        <v>261</v>
      </c>
      <c r="G11" s="79" t="s">
        <v>263</v>
      </c>
      <c r="H11" s="79" t="s">
        <v>264</v>
      </c>
      <c r="I11" s="79" t="s">
        <v>265</v>
      </c>
      <c r="J11" s="79" t="s">
        <v>266</v>
      </c>
      <c r="K11" s="84" t="s">
        <v>267</v>
      </c>
      <c r="L11" s="79" t="s">
        <v>268</v>
      </c>
      <c r="M11" s="81" t="s">
        <v>269</v>
      </c>
      <c r="N11" s="79" t="s">
        <v>270</v>
      </c>
      <c r="O11" s="79" t="s">
        <v>271</v>
      </c>
      <c r="P11" s="81" t="s">
        <v>272</v>
      </c>
      <c r="Q11" s="79" t="s">
        <v>273</v>
      </c>
      <c r="R11" s="79" t="s">
        <v>274</v>
      </c>
      <c r="S11" s="47"/>
    </row>
    <row r="12" spans="1:20" ht="245.25" customHeight="1" thickBot="1">
      <c r="A12" s="104"/>
      <c r="B12" s="80" t="s">
        <v>279</v>
      </c>
      <c r="C12" s="82" t="s">
        <v>280</v>
      </c>
      <c r="D12" s="80" t="s">
        <v>308</v>
      </c>
      <c r="E12" s="83" t="s">
        <v>281</v>
      </c>
      <c r="F12" s="80" t="s">
        <v>283</v>
      </c>
      <c r="G12" s="80" t="s">
        <v>285</v>
      </c>
      <c r="H12" s="83" t="s">
        <v>287</v>
      </c>
      <c r="I12" s="80" t="s">
        <v>289</v>
      </c>
      <c r="J12" s="80" t="s">
        <v>291</v>
      </c>
      <c r="K12" s="85"/>
      <c r="L12" s="83" t="s">
        <v>295</v>
      </c>
      <c r="M12" s="82" t="s">
        <v>298</v>
      </c>
      <c r="N12" s="80" t="s">
        <v>312</v>
      </c>
      <c r="O12" s="80" t="s">
        <v>309</v>
      </c>
      <c r="P12" s="82" t="s">
        <v>301</v>
      </c>
      <c r="Q12" s="80" t="s">
        <v>314</v>
      </c>
      <c r="R12" s="90" t="s">
        <v>303</v>
      </c>
    </row>
    <row r="13" spans="1:20" ht="32.25" thickBot="1">
      <c r="A13" s="88" t="s">
        <v>605</v>
      </c>
      <c r="B13" s="78">
        <v>8</v>
      </c>
      <c r="C13" s="78">
        <v>1</v>
      </c>
      <c r="D13" s="78">
        <v>7</v>
      </c>
      <c r="E13" s="78">
        <v>1</v>
      </c>
      <c r="F13" s="78">
        <v>3</v>
      </c>
      <c r="G13" s="78">
        <v>4</v>
      </c>
      <c r="H13" s="78">
        <v>2</v>
      </c>
      <c r="I13" s="78">
        <v>2</v>
      </c>
      <c r="J13" s="78">
        <v>4</v>
      </c>
      <c r="K13" s="78">
        <v>0</v>
      </c>
      <c r="L13" s="78">
        <v>1</v>
      </c>
      <c r="M13" s="78">
        <v>1</v>
      </c>
      <c r="N13" s="78">
        <v>3</v>
      </c>
      <c r="O13" s="78">
        <v>2</v>
      </c>
      <c r="P13" s="78">
        <v>1</v>
      </c>
      <c r="Q13" s="78">
        <v>15</v>
      </c>
      <c r="R13" s="78">
        <v>3</v>
      </c>
      <c r="S13" s="76">
        <f>SUM(B13:R13)</f>
        <v>58</v>
      </c>
      <c r="T13" s="76">
        <f>SUM(T18,S13)</f>
        <v>130</v>
      </c>
    </row>
    <row r="14" spans="1:20" ht="32.25" thickBot="1">
      <c r="A14" s="89" t="s">
        <v>606</v>
      </c>
      <c r="B14" s="86">
        <f>SUM(B19+B13)</f>
        <v>22</v>
      </c>
      <c r="C14" s="86">
        <f t="shared" ref="C14:R14" si="2">SUM(C19+C13)</f>
        <v>1</v>
      </c>
      <c r="D14" s="86">
        <f t="shared" si="2"/>
        <v>11</v>
      </c>
      <c r="E14" s="86">
        <f t="shared" si="2"/>
        <v>3</v>
      </c>
      <c r="F14" s="86">
        <f t="shared" si="2"/>
        <v>9</v>
      </c>
      <c r="G14" s="86">
        <f t="shared" si="2"/>
        <v>11</v>
      </c>
      <c r="H14" s="86">
        <f t="shared" si="2"/>
        <v>7</v>
      </c>
      <c r="I14" s="86">
        <f t="shared" si="2"/>
        <v>6</v>
      </c>
      <c r="J14" s="86">
        <f t="shared" si="2"/>
        <v>8</v>
      </c>
      <c r="K14" s="86">
        <f t="shared" si="2"/>
        <v>2</v>
      </c>
      <c r="L14" s="86">
        <f t="shared" si="2"/>
        <v>6</v>
      </c>
      <c r="M14" s="86">
        <f t="shared" si="2"/>
        <v>3</v>
      </c>
      <c r="N14" s="86">
        <f t="shared" si="2"/>
        <v>6</v>
      </c>
      <c r="O14" s="86">
        <f t="shared" si="2"/>
        <v>5</v>
      </c>
      <c r="P14" s="86">
        <f t="shared" si="2"/>
        <v>1</v>
      </c>
      <c r="Q14" s="86">
        <f t="shared" si="2"/>
        <v>19</v>
      </c>
      <c r="R14" s="87">
        <f t="shared" si="2"/>
        <v>10</v>
      </c>
      <c r="S14" s="87">
        <f>SUM(B14:R14)</f>
        <v>130</v>
      </c>
      <c r="T14" s="75"/>
    </row>
    <row r="15" spans="1:20" ht="16.5" thickBot="1">
      <c r="A15" s="52"/>
      <c r="B15" s="50"/>
      <c r="C15" s="51"/>
      <c r="D15" s="50"/>
      <c r="E15" s="51"/>
      <c r="F15" s="50"/>
      <c r="G15" s="50"/>
      <c r="H15" s="50"/>
      <c r="I15" s="50"/>
      <c r="J15" s="50"/>
      <c r="K15" s="51"/>
      <c r="L15" s="51"/>
      <c r="M15" s="51"/>
      <c r="N15" s="50"/>
      <c r="O15" s="50"/>
      <c r="P15" s="51"/>
      <c r="Q15" s="50"/>
      <c r="R15" s="50"/>
      <c r="S15" s="75"/>
    </row>
    <row r="16" spans="1:20" ht="63.75" thickBot="1">
      <c r="A16" s="104" t="s">
        <v>276</v>
      </c>
      <c r="B16" s="79" t="s">
        <v>258</v>
      </c>
      <c r="C16" s="92" t="s">
        <v>259</v>
      </c>
      <c r="D16" s="79" t="s">
        <v>262</v>
      </c>
      <c r="E16" s="79" t="s">
        <v>260</v>
      </c>
      <c r="F16" s="79" t="s">
        <v>261</v>
      </c>
      <c r="G16" s="79" t="s">
        <v>263</v>
      </c>
      <c r="H16" s="79" t="s">
        <v>264</v>
      </c>
      <c r="I16" s="79" t="s">
        <v>265</v>
      </c>
      <c r="J16" s="79" t="s">
        <v>266</v>
      </c>
      <c r="K16" s="79" t="s">
        <v>267</v>
      </c>
      <c r="L16" s="79" t="s">
        <v>268</v>
      </c>
      <c r="M16" s="81" t="s">
        <v>269</v>
      </c>
      <c r="N16" s="79" t="s">
        <v>270</v>
      </c>
      <c r="O16" s="79" t="s">
        <v>271</v>
      </c>
      <c r="P16" s="92" t="s">
        <v>272</v>
      </c>
      <c r="Q16" s="79" t="s">
        <v>273</v>
      </c>
      <c r="R16" s="79" t="s">
        <v>274</v>
      </c>
    </row>
    <row r="17" spans="1:20" ht="186.75" customHeight="1" thickBot="1">
      <c r="A17" s="104"/>
      <c r="B17" s="80" t="s">
        <v>306</v>
      </c>
      <c r="C17" s="85"/>
      <c r="D17" s="80" t="s">
        <v>307</v>
      </c>
      <c r="E17" s="80" t="s">
        <v>282</v>
      </c>
      <c r="F17" s="80" t="s">
        <v>284</v>
      </c>
      <c r="G17" s="80" t="s">
        <v>286</v>
      </c>
      <c r="H17" s="80" t="s">
        <v>310</v>
      </c>
      <c r="I17" s="80" t="s">
        <v>290</v>
      </c>
      <c r="J17" s="80" t="s">
        <v>292</v>
      </c>
      <c r="K17" s="80" t="s">
        <v>294</v>
      </c>
      <c r="L17" s="80" t="s">
        <v>296</v>
      </c>
      <c r="M17" s="80" t="s">
        <v>311</v>
      </c>
      <c r="N17" s="80" t="s">
        <v>299</v>
      </c>
      <c r="O17" s="80" t="s">
        <v>300</v>
      </c>
      <c r="P17" s="85"/>
      <c r="Q17" s="80" t="s">
        <v>313</v>
      </c>
      <c r="R17" s="80" t="s">
        <v>305</v>
      </c>
    </row>
    <row r="18" spans="1:20" ht="32.25" thickBot="1">
      <c r="A18" s="88" t="s">
        <v>605</v>
      </c>
      <c r="B18" s="78">
        <v>10</v>
      </c>
      <c r="C18" s="78">
        <v>0</v>
      </c>
      <c r="D18" s="78">
        <v>4</v>
      </c>
      <c r="E18" s="78">
        <v>2</v>
      </c>
      <c r="F18" s="78">
        <v>6</v>
      </c>
      <c r="G18" s="78">
        <v>5</v>
      </c>
      <c r="H18" s="78">
        <v>5</v>
      </c>
      <c r="I18" s="78">
        <v>4</v>
      </c>
      <c r="J18" s="78">
        <v>3</v>
      </c>
      <c r="K18" s="78">
        <v>2</v>
      </c>
      <c r="L18" s="78">
        <v>1</v>
      </c>
      <c r="M18" s="78">
        <v>2</v>
      </c>
      <c r="N18" s="78">
        <v>3</v>
      </c>
      <c r="O18" s="78">
        <v>3</v>
      </c>
      <c r="P18" s="78">
        <v>0</v>
      </c>
      <c r="Q18" s="78">
        <v>2</v>
      </c>
      <c r="R18" s="78">
        <v>3</v>
      </c>
      <c r="S18" s="76">
        <f>SUM(B18:R18)</f>
        <v>55</v>
      </c>
      <c r="T18" s="57">
        <f>SUM(S23,S18)</f>
        <v>72</v>
      </c>
    </row>
    <row r="19" spans="1:20" ht="32.25" thickBot="1">
      <c r="A19" s="89" t="s">
        <v>606</v>
      </c>
      <c r="B19" s="86">
        <f>SUM(B23+B18)</f>
        <v>14</v>
      </c>
      <c r="C19" s="86">
        <f>SUM(C23+C18)</f>
        <v>0</v>
      </c>
      <c r="D19" s="86">
        <f t="shared" ref="D19:R19" si="3">SUM(D23+D18)</f>
        <v>4</v>
      </c>
      <c r="E19" s="86">
        <f t="shared" si="3"/>
        <v>2</v>
      </c>
      <c r="F19" s="86">
        <f t="shared" si="3"/>
        <v>6</v>
      </c>
      <c r="G19" s="86">
        <f t="shared" si="3"/>
        <v>7</v>
      </c>
      <c r="H19" s="86">
        <f t="shared" si="3"/>
        <v>5</v>
      </c>
      <c r="I19" s="86">
        <f t="shared" si="3"/>
        <v>4</v>
      </c>
      <c r="J19" s="86">
        <f t="shared" si="3"/>
        <v>4</v>
      </c>
      <c r="K19" s="86">
        <f t="shared" si="3"/>
        <v>2</v>
      </c>
      <c r="L19" s="86">
        <f t="shared" si="3"/>
        <v>5</v>
      </c>
      <c r="M19" s="86">
        <f t="shared" si="3"/>
        <v>2</v>
      </c>
      <c r="N19" s="86">
        <f t="shared" si="3"/>
        <v>3</v>
      </c>
      <c r="O19" s="86">
        <f t="shared" si="3"/>
        <v>3</v>
      </c>
      <c r="P19" s="86">
        <f t="shared" si="3"/>
        <v>0</v>
      </c>
      <c r="Q19" s="86">
        <f t="shared" si="3"/>
        <v>4</v>
      </c>
      <c r="R19" s="87">
        <f t="shared" si="3"/>
        <v>7</v>
      </c>
      <c r="S19" s="87">
        <f>SUM(B19:R19)</f>
        <v>72</v>
      </c>
      <c r="T19" s="75"/>
    </row>
    <row r="20" spans="1:20" ht="16.5" thickBot="1">
      <c r="A20" s="47"/>
      <c r="B20" s="48"/>
      <c r="C20" s="49"/>
      <c r="D20" s="48"/>
      <c r="E20" s="48"/>
      <c r="F20" s="48"/>
      <c r="G20" s="48"/>
      <c r="H20" s="48"/>
      <c r="I20" s="48"/>
      <c r="J20" s="48"/>
      <c r="K20" s="48"/>
      <c r="L20" s="49"/>
      <c r="M20" s="48"/>
      <c r="N20" s="48"/>
      <c r="O20" s="48"/>
      <c r="P20" s="49"/>
      <c r="Q20" s="48"/>
      <c r="R20" s="48"/>
    </row>
    <row r="21" spans="1:20" ht="63.75" thickBot="1">
      <c r="A21" s="103" t="s">
        <v>277</v>
      </c>
      <c r="B21" s="79" t="s">
        <v>258</v>
      </c>
      <c r="C21" s="92" t="s">
        <v>259</v>
      </c>
      <c r="D21" s="84" t="s">
        <v>262</v>
      </c>
      <c r="E21" s="84" t="s">
        <v>260</v>
      </c>
      <c r="F21" s="84" t="s">
        <v>261</v>
      </c>
      <c r="G21" s="79" t="s">
        <v>263</v>
      </c>
      <c r="H21" s="84" t="s">
        <v>264</v>
      </c>
      <c r="I21" s="84" t="s">
        <v>265</v>
      </c>
      <c r="J21" s="79" t="s">
        <v>266</v>
      </c>
      <c r="K21" s="84" t="s">
        <v>267</v>
      </c>
      <c r="L21" s="79" t="s">
        <v>268</v>
      </c>
      <c r="M21" s="92" t="s">
        <v>269</v>
      </c>
      <c r="N21" s="84" t="s">
        <v>270</v>
      </c>
      <c r="O21" s="84" t="s">
        <v>271</v>
      </c>
      <c r="P21" s="92" t="s">
        <v>272</v>
      </c>
      <c r="Q21" s="79" t="s">
        <v>273</v>
      </c>
      <c r="R21" s="79" t="s">
        <v>274</v>
      </c>
    </row>
    <row r="22" spans="1:20" ht="63.75" thickBot="1">
      <c r="A22" s="104"/>
      <c r="B22" s="80" t="s">
        <v>278</v>
      </c>
      <c r="C22" s="85"/>
      <c r="D22" s="85"/>
      <c r="E22" s="85"/>
      <c r="F22" s="85"/>
      <c r="G22" s="80" t="s">
        <v>288</v>
      </c>
      <c r="H22" s="85"/>
      <c r="I22" s="85"/>
      <c r="J22" s="80" t="s">
        <v>293</v>
      </c>
      <c r="K22" s="85"/>
      <c r="L22" s="80" t="s">
        <v>297</v>
      </c>
      <c r="M22" s="85"/>
      <c r="N22" s="85"/>
      <c r="O22" s="85"/>
      <c r="P22" s="85"/>
      <c r="Q22" s="80" t="s">
        <v>302</v>
      </c>
      <c r="R22" s="80" t="s">
        <v>304</v>
      </c>
    </row>
    <row r="23" spans="1:20" ht="32.25" thickBot="1">
      <c r="A23" s="88" t="s">
        <v>605</v>
      </c>
      <c r="B23" s="78">
        <v>4</v>
      </c>
      <c r="C23" s="78">
        <v>0</v>
      </c>
      <c r="D23" s="78">
        <v>0</v>
      </c>
      <c r="E23" s="78">
        <v>0</v>
      </c>
      <c r="F23" s="78">
        <v>0</v>
      </c>
      <c r="G23" s="78">
        <v>2</v>
      </c>
      <c r="H23" s="78">
        <v>0</v>
      </c>
      <c r="I23" s="78">
        <v>0</v>
      </c>
      <c r="J23" s="78">
        <v>1</v>
      </c>
      <c r="K23" s="78">
        <v>0</v>
      </c>
      <c r="L23" s="78">
        <v>4</v>
      </c>
      <c r="M23" s="78">
        <v>0</v>
      </c>
      <c r="N23" s="78">
        <v>0</v>
      </c>
      <c r="O23" s="78">
        <v>0</v>
      </c>
      <c r="P23" s="78">
        <v>0</v>
      </c>
      <c r="Q23" s="78">
        <v>2</v>
      </c>
      <c r="R23" s="78">
        <v>4</v>
      </c>
      <c r="S23" s="76">
        <f>SUM(B23:R23)</f>
        <v>17</v>
      </c>
    </row>
    <row r="24" spans="1:20">
      <c r="A24" s="52"/>
      <c r="B24" s="50"/>
      <c r="C24" s="53"/>
      <c r="D24" s="53"/>
      <c r="E24" s="53"/>
      <c r="F24" s="53"/>
      <c r="G24" s="54"/>
      <c r="H24" s="53"/>
      <c r="I24" s="53"/>
      <c r="J24" s="53"/>
      <c r="K24" s="53"/>
      <c r="L24" s="54"/>
      <c r="M24" s="53"/>
      <c r="N24" s="53"/>
      <c r="O24" s="53"/>
      <c r="P24" s="53"/>
      <c r="Q24" s="50"/>
      <c r="R24" s="50"/>
    </row>
    <row r="25" spans="1:20">
      <c r="A25" s="56">
        <f>SUM(T3)</f>
        <v>171</v>
      </c>
      <c r="B25" s="56">
        <f>SUM(B23,B18,B13,B8,B3)</f>
        <v>26</v>
      </c>
      <c r="C25" s="56">
        <f t="shared" ref="C25:S25" si="4">SUM(C23,C18,C13,C8,C3)</f>
        <v>2</v>
      </c>
      <c r="D25" s="56">
        <f t="shared" si="4"/>
        <v>14</v>
      </c>
      <c r="E25" s="56">
        <f t="shared" si="4"/>
        <v>5</v>
      </c>
      <c r="F25" s="56">
        <f t="shared" si="4"/>
        <v>11</v>
      </c>
      <c r="G25" s="56">
        <f t="shared" si="4"/>
        <v>11</v>
      </c>
      <c r="H25" s="56">
        <f t="shared" si="4"/>
        <v>13</v>
      </c>
      <c r="I25" s="56">
        <f t="shared" si="4"/>
        <v>6</v>
      </c>
      <c r="J25" s="56">
        <f t="shared" si="4"/>
        <v>8</v>
      </c>
      <c r="K25" s="56">
        <f t="shared" si="4"/>
        <v>2</v>
      </c>
      <c r="L25" s="56">
        <f t="shared" si="4"/>
        <v>6</v>
      </c>
      <c r="M25" s="56">
        <f t="shared" si="4"/>
        <v>4</v>
      </c>
      <c r="N25" s="56">
        <f t="shared" si="4"/>
        <v>12</v>
      </c>
      <c r="O25" s="56">
        <f t="shared" si="4"/>
        <v>8</v>
      </c>
      <c r="P25" s="56">
        <f t="shared" si="4"/>
        <v>3</v>
      </c>
      <c r="Q25" s="56">
        <f t="shared" si="4"/>
        <v>27</v>
      </c>
      <c r="R25" s="56">
        <f t="shared" si="4"/>
        <v>13</v>
      </c>
      <c r="S25" s="56">
        <f t="shared" si="4"/>
        <v>171</v>
      </c>
    </row>
    <row r="26" spans="1:20">
      <c r="A26" s="74" t="s">
        <v>602</v>
      </c>
      <c r="B26" s="74" t="s">
        <v>603</v>
      </c>
      <c r="C26" s="74" t="s">
        <v>603</v>
      </c>
      <c r="D26" s="74" t="s">
        <v>603</v>
      </c>
      <c r="E26" s="74" t="s">
        <v>603</v>
      </c>
      <c r="F26" s="74" t="s">
        <v>603</v>
      </c>
      <c r="G26" s="74" t="s">
        <v>603</v>
      </c>
      <c r="H26" s="74" t="s">
        <v>603</v>
      </c>
      <c r="I26" s="74" t="s">
        <v>603</v>
      </c>
      <c r="J26" s="74" t="s">
        <v>603</v>
      </c>
      <c r="K26" s="74" t="s">
        <v>603</v>
      </c>
      <c r="L26" s="74" t="s">
        <v>603</v>
      </c>
      <c r="M26" s="74" t="s">
        <v>603</v>
      </c>
      <c r="N26" s="74" t="s">
        <v>603</v>
      </c>
      <c r="O26" s="74" t="s">
        <v>603</v>
      </c>
      <c r="P26" s="74" t="s">
        <v>603</v>
      </c>
      <c r="Q26" s="74" t="s">
        <v>603</v>
      </c>
      <c r="R26" s="74" t="s">
        <v>603</v>
      </c>
      <c r="S26" s="74" t="s">
        <v>602</v>
      </c>
    </row>
  </sheetData>
  <mergeCells count="5">
    <mergeCell ref="A11:A12"/>
    <mergeCell ref="A16:A17"/>
    <mergeCell ref="A21:A22"/>
    <mergeCell ref="A6:A7"/>
    <mergeCell ref="A1:A2"/>
  </mergeCells>
  <pageMargins left="0.7" right="0.7" top="0.75" bottom="0.75" header="0.3" footer="0.3"/>
  <pageSetup scale="34"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E34DE-B844-4664-B5EF-71210030D4AE}">
  <sheetPr>
    <tabColor theme="9" tint="0.79998168889431442"/>
  </sheetPr>
  <dimension ref="A1:Q131"/>
  <sheetViews>
    <sheetView workbookViewId="0">
      <selection activeCell="D2" sqref="D2"/>
    </sheetView>
  </sheetViews>
  <sheetFormatPr defaultRowHeight="15.75"/>
  <cols>
    <col min="1" max="1" width="15.5" customWidth="1"/>
    <col min="2" max="2" width="19.125" customWidth="1"/>
    <col min="3" max="3" width="22" bestFit="1" customWidth="1"/>
    <col min="4" max="4" width="59.25" customWidth="1"/>
    <col min="15" max="15" width="11.75" hidden="1" customWidth="1"/>
  </cols>
  <sheetData>
    <row r="1" spans="1:17">
      <c r="A1" s="58" t="s">
        <v>315</v>
      </c>
      <c r="B1" s="58" t="s">
        <v>316</v>
      </c>
      <c r="C1" s="58" t="s">
        <v>317</v>
      </c>
      <c r="D1" s="59" t="s">
        <v>318</v>
      </c>
    </row>
    <row r="2" spans="1:17" ht="26.25" thickBot="1">
      <c r="A2" s="60" t="s">
        <v>319</v>
      </c>
      <c r="B2" s="60" t="s">
        <v>320</v>
      </c>
      <c r="C2" s="61" t="s">
        <v>321</v>
      </c>
      <c r="D2" s="65" t="s">
        <v>607</v>
      </c>
      <c r="O2" s="62" t="s">
        <v>322</v>
      </c>
      <c r="P2" s="62"/>
      <c r="Q2" s="62"/>
    </row>
    <row r="3" spans="1:17" ht="26.25" thickBot="1">
      <c r="A3" s="60" t="s">
        <v>323</v>
      </c>
      <c r="B3" s="60" t="s">
        <v>324</v>
      </c>
      <c r="C3" s="61" t="s">
        <v>321</v>
      </c>
      <c r="D3" s="65" t="s">
        <v>608</v>
      </c>
      <c r="F3" s="105" t="s">
        <v>325</v>
      </c>
      <c r="G3" s="106"/>
      <c r="H3" s="106"/>
      <c r="I3" s="106"/>
      <c r="J3" s="106"/>
      <c r="K3" s="106"/>
      <c r="L3" s="107"/>
      <c r="O3" s="62" t="s">
        <v>326</v>
      </c>
      <c r="P3" s="62"/>
      <c r="Q3" s="62"/>
    </row>
    <row r="4" spans="1:17" ht="25.5">
      <c r="A4" s="60" t="s">
        <v>327</v>
      </c>
      <c r="B4" s="60" t="s">
        <v>328</v>
      </c>
      <c r="C4" s="61" t="s">
        <v>321</v>
      </c>
      <c r="D4" s="65" t="s">
        <v>609</v>
      </c>
      <c r="O4" s="62" t="s">
        <v>329</v>
      </c>
      <c r="P4" s="62"/>
      <c r="Q4" s="62"/>
    </row>
    <row r="5" spans="1:17" ht="25.5">
      <c r="A5" s="60" t="s">
        <v>330</v>
      </c>
      <c r="B5" s="60" t="s">
        <v>331</v>
      </c>
      <c r="C5" s="61" t="s">
        <v>321</v>
      </c>
      <c r="D5" s="65" t="s">
        <v>610</v>
      </c>
      <c r="O5" s="62" t="s">
        <v>321</v>
      </c>
    </row>
    <row r="6" spans="1:17" ht="38.25">
      <c r="A6" s="60" t="s">
        <v>332</v>
      </c>
      <c r="B6" s="60" t="s">
        <v>333</v>
      </c>
      <c r="C6" s="61" t="s">
        <v>321</v>
      </c>
      <c r="D6" s="65" t="s">
        <v>611</v>
      </c>
      <c r="O6" s="63" t="s">
        <v>334</v>
      </c>
    </row>
    <row r="7" spans="1:17" ht="30">
      <c r="A7" s="60" t="s">
        <v>335</v>
      </c>
      <c r="B7" s="60" t="s">
        <v>336</v>
      </c>
      <c r="C7" s="61" t="s">
        <v>321</v>
      </c>
      <c r="D7" s="65" t="s">
        <v>612</v>
      </c>
      <c r="O7" s="63" t="s">
        <v>337</v>
      </c>
    </row>
    <row r="8" spans="1:17" ht="38.25">
      <c r="A8" s="60" t="s">
        <v>338</v>
      </c>
      <c r="B8" s="60" t="s">
        <v>339</v>
      </c>
      <c r="C8" s="61" t="s">
        <v>321</v>
      </c>
      <c r="D8" s="65" t="s">
        <v>613</v>
      </c>
      <c r="O8" s="62" t="s">
        <v>340</v>
      </c>
    </row>
    <row r="9" spans="1:17" ht="25.5">
      <c r="A9" s="60" t="s">
        <v>341</v>
      </c>
      <c r="B9" s="60" t="s">
        <v>342</v>
      </c>
      <c r="C9" s="61" t="s">
        <v>321</v>
      </c>
      <c r="D9" s="65" t="s">
        <v>614</v>
      </c>
    </row>
    <row r="10" spans="1:17">
      <c r="A10" s="60" t="s">
        <v>343</v>
      </c>
      <c r="B10" s="60" t="s">
        <v>344</v>
      </c>
      <c r="C10" s="61" t="s">
        <v>321</v>
      </c>
      <c r="D10" s="65" t="s">
        <v>615</v>
      </c>
    </row>
    <row r="11" spans="1:17" ht="38.25">
      <c r="A11" s="60" t="s">
        <v>345</v>
      </c>
      <c r="B11" s="60" t="s">
        <v>346</v>
      </c>
      <c r="C11" s="61" t="s">
        <v>321</v>
      </c>
      <c r="D11" s="65" t="s">
        <v>616</v>
      </c>
    </row>
    <row r="12" spans="1:17" ht="25.5">
      <c r="A12" s="60" t="s">
        <v>347</v>
      </c>
      <c r="B12" s="60" t="s">
        <v>348</v>
      </c>
      <c r="C12" s="61" t="s">
        <v>321</v>
      </c>
      <c r="D12" s="65" t="s">
        <v>617</v>
      </c>
    </row>
    <row r="13" spans="1:17" ht="25.5">
      <c r="A13" s="60" t="s">
        <v>349</v>
      </c>
      <c r="B13" s="60" t="s">
        <v>350</v>
      </c>
      <c r="C13" s="61" t="s">
        <v>321</v>
      </c>
      <c r="D13" s="65" t="s">
        <v>618</v>
      </c>
    </row>
    <row r="14" spans="1:17" ht="25.5">
      <c r="A14" s="60" t="s">
        <v>351</v>
      </c>
      <c r="B14" s="60" t="s">
        <v>352</v>
      </c>
      <c r="C14" s="61" t="s">
        <v>321</v>
      </c>
      <c r="D14" s="65" t="s">
        <v>619</v>
      </c>
    </row>
    <row r="15" spans="1:17">
      <c r="A15" s="60" t="s">
        <v>353</v>
      </c>
      <c r="B15" s="60" t="s">
        <v>354</v>
      </c>
      <c r="C15" s="61" t="s">
        <v>326</v>
      </c>
      <c r="D15" s="65" t="s">
        <v>355</v>
      </c>
    </row>
    <row r="16" spans="1:17" ht="25.5">
      <c r="A16" s="60" t="s">
        <v>356</v>
      </c>
      <c r="B16" s="60" t="s">
        <v>357</v>
      </c>
      <c r="C16" s="61" t="s">
        <v>321</v>
      </c>
      <c r="D16" s="65" t="s">
        <v>620</v>
      </c>
    </row>
    <row r="17" spans="1:4" ht="25.5">
      <c r="A17" s="60" t="s">
        <v>358</v>
      </c>
      <c r="B17" s="60" t="s">
        <v>359</v>
      </c>
      <c r="C17" s="61" t="s">
        <v>321</v>
      </c>
      <c r="D17" s="65" t="s">
        <v>621</v>
      </c>
    </row>
    <row r="18" spans="1:4" ht="25.5">
      <c r="A18" s="60" t="s">
        <v>360</v>
      </c>
      <c r="B18" s="60" t="s">
        <v>361</v>
      </c>
      <c r="C18" s="61" t="s">
        <v>321</v>
      </c>
      <c r="D18" s="65" t="s">
        <v>622</v>
      </c>
    </row>
    <row r="19" spans="1:4" ht="38.25">
      <c r="A19" s="60" t="s">
        <v>362</v>
      </c>
      <c r="B19" s="60" t="s">
        <v>363</v>
      </c>
      <c r="C19" s="61" t="s">
        <v>321</v>
      </c>
      <c r="D19" s="65" t="s">
        <v>623</v>
      </c>
    </row>
    <row r="20" spans="1:4" ht="25.5">
      <c r="A20" s="60" t="s">
        <v>364</v>
      </c>
      <c r="B20" s="60" t="s">
        <v>365</v>
      </c>
      <c r="C20" s="61" t="s">
        <v>321</v>
      </c>
      <c r="D20" s="65" t="s">
        <v>624</v>
      </c>
    </row>
    <row r="21" spans="1:4" ht="25.5">
      <c r="A21" s="60" t="s">
        <v>366</v>
      </c>
      <c r="B21" s="60" t="s">
        <v>367</v>
      </c>
      <c r="C21" s="61" t="s">
        <v>321</v>
      </c>
      <c r="D21" s="65" t="s">
        <v>625</v>
      </c>
    </row>
    <row r="22" spans="1:4" ht="25.5">
      <c r="A22" s="60" t="s">
        <v>368</v>
      </c>
      <c r="B22" s="60" t="s">
        <v>369</v>
      </c>
      <c r="C22" s="61" t="s">
        <v>321</v>
      </c>
      <c r="D22" s="65" t="s">
        <v>626</v>
      </c>
    </row>
    <row r="23" spans="1:4" ht="25.5">
      <c r="A23" s="60" t="s">
        <v>370</v>
      </c>
      <c r="B23" s="60" t="s">
        <v>371</v>
      </c>
      <c r="C23" s="61" t="s">
        <v>321</v>
      </c>
      <c r="D23" s="65" t="s">
        <v>627</v>
      </c>
    </row>
    <row r="24" spans="1:4" ht="25.5">
      <c r="A24" s="60" t="s">
        <v>372</v>
      </c>
      <c r="B24" s="64" t="s">
        <v>373</v>
      </c>
      <c r="C24" s="61" t="s">
        <v>321</v>
      </c>
      <c r="D24" s="65" t="s">
        <v>628</v>
      </c>
    </row>
    <row r="25" spans="1:4" ht="38.25">
      <c r="A25" s="60" t="s">
        <v>374</v>
      </c>
      <c r="B25" s="60" t="s">
        <v>375</v>
      </c>
      <c r="C25" s="61" t="s">
        <v>321</v>
      </c>
      <c r="D25" s="65" t="s">
        <v>629</v>
      </c>
    </row>
    <row r="26" spans="1:4">
      <c r="A26" s="60" t="s">
        <v>376</v>
      </c>
      <c r="B26" s="60" t="s">
        <v>377</v>
      </c>
      <c r="C26" s="61" t="s">
        <v>326</v>
      </c>
      <c r="D26" s="65" t="s">
        <v>355</v>
      </c>
    </row>
    <row r="27" spans="1:4" ht="25.5">
      <c r="A27" s="60" t="s">
        <v>378</v>
      </c>
      <c r="B27" s="60" t="s">
        <v>379</v>
      </c>
      <c r="C27" s="61" t="s">
        <v>321</v>
      </c>
      <c r="D27" s="65" t="s">
        <v>630</v>
      </c>
    </row>
    <row r="28" spans="1:4">
      <c r="A28" s="60" t="s">
        <v>380</v>
      </c>
      <c r="B28" s="60" t="s">
        <v>381</v>
      </c>
      <c r="C28" s="61" t="s">
        <v>326</v>
      </c>
      <c r="D28" s="65" t="s">
        <v>355</v>
      </c>
    </row>
    <row r="29" spans="1:4" ht="25.5">
      <c r="A29" s="60" t="s">
        <v>382</v>
      </c>
      <c r="B29" s="60" t="s">
        <v>383</v>
      </c>
      <c r="C29" s="61" t="s">
        <v>321</v>
      </c>
      <c r="D29" s="65" t="s">
        <v>631</v>
      </c>
    </row>
    <row r="30" spans="1:4" ht="25.5">
      <c r="A30" s="60" t="s">
        <v>384</v>
      </c>
      <c r="B30" s="60" t="s">
        <v>385</v>
      </c>
      <c r="C30" s="61" t="s">
        <v>321</v>
      </c>
      <c r="D30" s="65" t="s">
        <v>632</v>
      </c>
    </row>
    <row r="31" spans="1:4">
      <c r="A31" s="60" t="s">
        <v>386</v>
      </c>
      <c r="B31" s="64" t="s">
        <v>373</v>
      </c>
      <c r="C31" s="61" t="s">
        <v>321</v>
      </c>
      <c r="D31" s="65" t="s">
        <v>633</v>
      </c>
    </row>
    <row r="32" spans="1:4" ht="25.5">
      <c r="A32" s="60" t="s">
        <v>387</v>
      </c>
      <c r="B32" s="60" t="s">
        <v>388</v>
      </c>
      <c r="C32" s="61" t="s">
        <v>321</v>
      </c>
      <c r="D32" s="65" t="s">
        <v>634</v>
      </c>
    </row>
    <row r="33" spans="1:4">
      <c r="A33" s="60" t="s">
        <v>389</v>
      </c>
      <c r="B33" s="60" t="s">
        <v>390</v>
      </c>
      <c r="C33" s="61" t="s">
        <v>321</v>
      </c>
      <c r="D33" s="65" t="s">
        <v>635</v>
      </c>
    </row>
    <row r="34" spans="1:4" ht="25.5">
      <c r="A34" s="60" t="s">
        <v>391</v>
      </c>
      <c r="B34" s="64" t="s">
        <v>373</v>
      </c>
      <c r="C34" s="61" t="s">
        <v>321</v>
      </c>
      <c r="D34" s="65" t="s">
        <v>636</v>
      </c>
    </row>
    <row r="35" spans="1:4">
      <c r="A35" s="60" t="s">
        <v>392</v>
      </c>
      <c r="B35" s="60" t="s">
        <v>393</v>
      </c>
      <c r="C35" s="61" t="s">
        <v>321</v>
      </c>
      <c r="D35" s="65" t="s">
        <v>637</v>
      </c>
    </row>
    <row r="36" spans="1:4">
      <c r="A36" s="60" t="s">
        <v>394</v>
      </c>
      <c r="B36" s="60" t="s">
        <v>395</v>
      </c>
      <c r="C36" s="61" t="s">
        <v>321</v>
      </c>
      <c r="D36" s="65" t="s">
        <v>638</v>
      </c>
    </row>
    <row r="37" spans="1:4" ht="25.5">
      <c r="A37" s="60" t="s">
        <v>396</v>
      </c>
      <c r="B37" s="60" t="s">
        <v>397</v>
      </c>
      <c r="C37" s="61" t="s">
        <v>321</v>
      </c>
      <c r="D37" s="65" t="s">
        <v>639</v>
      </c>
    </row>
    <row r="38" spans="1:4">
      <c r="A38" s="60" t="s">
        <v>398</v>
      </c>
      <c r="B38" s="60" t="s">
        <v>399</v>
      </c>
      <c r="C38" s="61" t="s">
        <v>321</v>
      </c>
      <c r="D38" s="65" t="s">
        <v>640</v>
      </c>
    </row>
    <row r="39" spans="1:4">
      <c r="A39" s="60" t="s">
        <v>400</v>
      </c>
      <c r="B39" s="60" t="s">
        <v>401</v>
      </c>
      <c r="C39" s="61" t="s">
        <v>321</v>
      </c>
      <c r="D39" s="65" t="s">
        <v>402</v>
      </c>
    </row>
    <row r="40" spans="1:4" ht="25.5">
      <c r="A40" s="60" t="s">
        <v>403</v>
      </c>
      <c r="B40" s="60" t="s">
        <v>404</v>
      </c>
      <c r="C40" s="61" t="s">
        <v>321</v>
      </c>
      <c r="D40" s="65" t="s">
        <v>641</v>
      </c>
    </row>
    <row r="41" spans="1:4">
      <c r="A41" s="60" t="s">
        <v>405</v>
      </c>
      <c r="B41" s="60" t="s">
        <v>406</v>
      </c>
      <c r="C41" s="61" t="s">
        <v>321</v>
      </c>
      <c r="D41" s="65" t="s">
        <v>642</v>
      </c>
    </row>
    <row r="42" spans="1:4">
      <c r="A42" s="60" t="s">
        <v>407</v>
      </c>
      <c r="B42" s="60" t="s">
        <v>408</v>
      </c>
      <c r="C42" s="61" t="s">
        <v>321</v>
      </c>
      <c r="D42" s="65" t="s">
        <v>643</v>
      </c>
    </row>
    <row r="43" spans="1:4">
      <c r="A43" s="60" t="s">
        <v>409</v>
      </c>
      <c r="B43" s="64" t="s">
        <v>373</v>
      </c>
      <c r="C43" s="61" t="s">
        <v>326</v>
      </c>
      <c r="D43" s="65" t="s">
        <v>355</v>
      </c>
    </row>
    <row r="44" spans="1:4" ht="25.5">
      <c r="A44" s="60" t="s">
        <v>410</v>
      </c>
      <c r="B44" s="60" t="s">
        <v>411</v>
      </c>
      <c r="C44" s="61" t="s">
        <v>321</v>
      </c>
      <c r="D44" s="65" t="s">
        <v>644</v>
      </c>
    </row>
    <row r="45" spans="1:4" ht="25.5">
      <c r="A45" s="60" t="s">
        <v>412</v>
      </c>
      <c r="B45" s="60" t="s">
        <v>413</v>
      </c>
      <c r="C45" s="61" t="s">
        <v>321</v>
      </c>
      <c r="D45" s="65" t="s">
        <v>645</v>
      </c>
    </row>
    <row r="46" spans="1:4" ht="25.5">
      <c r="A46" s="60" t="s">
        <v>414</v>
      </c>
      <c r="B46" s="60" t="s">
        <v>415</v>
      </c>
      <c r="C46" s="61" t="s">
        <v>321</v>
      </c>
      <c r="D46" s="65" t="s">
        <v>646</v>
      </c>
    </row>
    <row r="47" spans="1:4" ht="25.5">
      <c r="A47" s="60" t="s">
        <v>416</v>
      </c>
      <c r="B47" s="60" t="s">
        <v>417</v>
      </c>
      <c r="C47" s="61" t="s">
        <v>321</v>
      </c>
      <c r="D47" s="65" t="s">
        <v>647</v>
      </c>
    </row>
    <row r="48" spans="1:4" ht="25.5">
      <c r="A48" s="60" t="s">
        <v>418</v>
      </c>
      <c r="B48" s="60" t="s">
        <v>419</v>
      </c>
      <c r="C48" s="61" t="s">
        <v>321</v>
      </c>
      <c r="D48" s="65" t="s">
        <v>648</v>
      </c>
    </row>
    <row r="49" spans="1:4" ht="25.5">
      <c r="A49" s="60" t="s">
        <v>420</v>
      </c>
      <c r="B49" s="60" t="s">
        <v>421</v>
      </c>
      <c r="C49" s="61" t="s">
        <v>321</v>
      </c>
      <c r="D49" s="65" t="s">
        <v>649</v>
      </c>
    </row>
    <row r="50" spans="1:4" ht="51">
      <c r="A50" s="60" t="s">
        <v>422</v>
      </c>
      <c r="B50" s="60" t="s">
        <v>423</v>
      </c>
      <c r="C50" s="61" t="s">
        <v>321</v>
      </c>
      <c r="D50" s="65" t="s">
        <v>650</v>
      </c>
    </row>
    <row r="51" spans="1:4" ht="38.25">
      <c r="A51" s="60" t="s">
        <v>424</v>
      </c>
      <c r="B51" s="60" t="s">
        <v>425</v>
      </c>
      <c r="C51" s="61" t="s">
        <v>321</v>
      </c>
      <c r="D51" s="65" t="s">
        <v>651</v>
      </c>
    </row>
    <row r="52" spans="1:4" ht="51">
      <c r="A52" s="60" t="s">
        <v>426</v>
      </c>
      <c r="B52" s="60" t="s">
        <v>427</v>
      </c>
      <c r="C52" s="61" t="s">
        <v>321</v>
      </c>
      <c r="D52" s="65" t="s">
        <v>652</v>
      </c>
    </row>
    <row r="53" spans="1:4" ht="25.5">
      <c r="A53" s="60" t="s">
        <v>428</v>
      </c>
      <c r="B53" s="60" t="s">
        <v>429</v>
      </c>
      <c r="C53" s="61" t="s">
        <v>321</v>
      </c>
      <c r="D53" s="65" t="s">
        <v>653</v>
      </c>
    </row>
    <row r="54" spans="1:4" ht="38.25">
      <c r="A54" s="60" t="s">
        <v>430</v>
      </c>
      <c r="B54" s="60" t="s">
        <v>431</v>
      </c>
      <c r="C54" s="61" t="s">
        <v>321</v>
      </c>
      <c r="D54" s="65" t="s">
        <v>654</v>
      </c>
    </row>
    <row r="55" spans="1:4" ht="25.5">
      <c r="A55" s="60" t="s">
        <v>432</v>
      </c>
      <c r="B55" s="60" t="s">
        <v>433</v>
      </c>
      <c r="C55" s="61" t="s">
        <v>321</v>
      </c>
      <c r="D55" s="65" t="s">
        <v>655</v>
      </c>
    </row>
    <row r="56" spans="1:4" ht="25.5">
      <c r="A56" s="60" t="s">
        <v>434</v>
      </c>
      <c r="B56" s="60" t="s">
        <v>435</v>
      </c>
      <c r="C56" s="61" t="s">
        <v>321</v>
      </c>
      <c r="D56" s="65" t="s">
        <v>656</v>
      </c>
    </row>
    <row r="57" spans="1:4" ht="25.5">
      <c r="A57" s="60" t="s">
        <v>436</v>
      </c>
      <c r="B57" s="60" t="s">
        <v>437</v>
      </c>
      <c r="C57" s="61" t="s">
        <v>321</v>
      </c>
      <c r="D57" s="65" t="s">
        <v>657</v>
      </c>
    </row>
    <row r="58" spans="1:4" ht="25.5">
      <c r="A58" s="60" t="s">
        <v>438</v>
      </c>
      <c r="B58" s="60" t="s">
        <v>439</v>
      </c>
      <c r="C58" s="61" t="s">
        <v>321</v>
      </c>
      <c r="D58" s="65" t="s">
        <v>658</v>
      </c>
    </row>
    <row r="59" spans="1:4" ht="25.5">
      <c r="A59" s="60" t="s">
        <v>440</v>
      </c>
      <c r="B59" s="60" t="s">
        <v>441</v>
      </c>
      <c r="C59" s="61" t="s">
        <v>321</v>
      </c>
      <c r="D59" s="65" t="s">
        <v>659</v>
      </c>
    </row>
    <row r="60" spans="1:4" ht="25.5">
      <c r="A60" s="60" t="s">
        <v>442</v>
      </c>
      <c r="B60" s="60" t="s">
        <v>443</v>
      </c>
      <c r="C60" s="61" t="s">
        <v>321</v>
      </c>
      <c r="D60" s="65" t="s">
        <v>444</v>
      </c>
    </row>
    <row r="61" spans="1:4" ht="38.25">
      <c r="A61" s="60" t="s">
        <v>445</v>
      </c>
      <c r="B61" s="60" t="s">
        <v>446</v>
      </c>
      <c r="C61" s="61" t="s">
        <v>321</v>
      </c>
      <c r="D61" s="65" t="s">
        <v>660</v>
      </c>
    </row>
    <row r="62" spans="1:4" ht="25.5">
      <c r="A62" s="60" t="s">
        <v>447</v>
      </c>
      <c r="B62" s="60" t="s">
        <v>448</v>
      </c>
      <c r="C62" s="61" t="s">
        <v>321</v>
      </c>
      <c r="D62" s="65" t="s">
        <v>661</v>
      </c>
    </row>
    <row r="63" spans="1:4" ht="25.5">
      <c r="A63" s="60" t="s">
        <v>449</v>
      </c>
      <c r="B63" s="60" t="s">
        <v>450</v>
      </c>
      <c r="C63" s="61" t="s">
        <v>321</v>
      </c>
      <c r="D63" s="65" t="s">
        <v>662</v>
      </c>
    </row>
    <row r="64" spans="1:4" ht="63.75">
      <c r="A64" s="60" t="s">
        <v>451</v>
      </c>
      <c r="B64" s="60" t="s">
        <v>452</v>
      </c>
      <c r="C64" s="61" t="s">
        <v>340</v>
      </c>
      <c r="D64" s="65" t="s">
        <v>663</v>
      </c>
    </row>
    <row r="65" spans="1:4" ht="38.25">
      <c r="A65" s="60" t="s">
        <v>453</v>
      </c>
      <c r="B65" s="64" t="s">
        <v>373</v>
      </c>
      <c r="C65" s="61" t="s">
        <v>340</v>
      </c>
      <c r="D65" s="65" t="s">
        <v>664</v>
      </c>
    </row>
    <row r="66" spans="1:4" ht="25.5">
      <c r="A66" s="60" t="s">
        <v>454</v>
      </c>
      <c r="B66" s="64" t="s">
        <v>373</v>
      </c>
      <c r="C66" s="61" t="s">
        <v>321</v>
      </c>
      <c r="D66" s="65" t="s">
        <v>665</v>
      </c>
    </row>
    <row r="67" spans="1:4" ht="25.5">
      <c r="A67" s="60" t="s">
        <v>455</v>
      </c>
      <c r="B67" s="64" t="s">
        <v>373</v>
      </c>
      <c r="C67" s="61" t="s">
        <v>321</v>
      </c>
      <c r="D67" s="65" t="s">
        <v>666</v>
      </c>
    </row>
    <row r="68" spans="1:4" ht="38.25">
      <c r="A68" s="60" t="s">
        <v>456</v>
      </c>
      <c r="B68" s="64" t="s">
        <v>373</v>
      </c>
      <c r="C68" s="61" t="s">
        <v>340</v>
      </c>
      <c r="D68" s="65" t="s">
        <v>667</v>
      </c>
    </row>
    <row r="69" spans="1:4" ht="38.25">
      <c r="A69" s="60" t="s">
        <v>457</v>
      </c>
      <c r="B69" s="60" t="s">
        <v>458</v>
      </c>
      <c r="C69" s="61" t="s">
        <v>321</v>
      </c>
      <c r="D69" s="65" t="s">
        <v>668</v>
      </c>
    </row>
    <row r="70" spans="1:4" ht="51">
      <c r="A70" s="60" t="s">
        <v>459</v>
      </c>
      <c r="B70" s="60" t="s">
        <v>460</v>
      </c>
      <c r="C70" s="61" t="s">
        <v>340</v>
      </c>
      <c r="D70" s="65" t="s">
        <v>669</v>
      </c>
    </row>
    <row r="71" spans="1:4" ht="25.5">
      <c r="A71" s="60" t="s">
        <v>461</v>
      </c>
      <c r="B71" s="60" t="s">
        <v>462</v>
      </c>
      <c r="C71" s="61" t="s">
        <v>321</v>
      </c>
      <c r="D71" s="65" t="s">
        <v>670</v>
      </c>
    </row>
    <row r="72" spans="1:4" ht="38.25">
      <c r="A72" s="60" t="s">
        <v>463</v>
      </c>
      <c r="B72" s="60" t="s">
        <v>464</v>
      </c>
      <c r="C72" s="61" t="s">
        <v>321</v>
      </c>
      <c r="D72" s="65" t="s">
        <v>671</v>
      </c>
    </row>
    <row r="73" spans="1:4" ht="51">
      <c r="A73" s="60" t="s">
        <v>465</v>
      </c>
      <c r="B73" s="60" t="s">
        <v>466</v>
      </c>
      <c r="C73" s="61" t="s">
        <v>321</v>
      </c>
      <c r="D73" s="65" t="s">
        <v>672</v>
      </c>
    </row>
    <row r="74" spans="1:4" ht="38.25">
      <c r="A74" s="60" t="s">
        <v>467</v>
      </c>
      <c r="B74" s="60" t="s">
        <v>468</v>
      </c>
      <c r="C74" s="61" t="s">
        <v>321</v>
      </c>
      <c r="D74" s="65" t="s">
        <v>673</v>
      </c>
    </row>
    <row r="75" spans="1:4" ht="25.5">
      <c r="A75" s="60" t="s">
        <v>469</v>
      </c>
      <c r="B75" s="60" t="s">
        <v>470</v>
      </c>
      <c r="C75" s="61" t="s">
        <v>321</v>
      </c>
      <c r="D75" s="65" t="s">
        <v>674</v>
      </c>
    </row>
    <row r="76" spans="1:4" ht="38.25">
      <c r="A76" s="60" t="s">
        <v>471</v>
      </c>
      <c r="B76" s="60" t="s">
        <v>472</v>
      </c>
      <c r="C76" s="61" t="s">
        <v>321</v>
      </c>
      <c r="D76" s="65" t="s">
        <v>675</v>
      </c>
    </row>
    <row r="77" spans="1:4" ht="25.5">
      <c r="A77" s="60" t="s">
        <v>473</v>
      </c>
      <c r="B77" s="60" t="s">
        <v>474</v>
      </c>
      <c r="C77" s="61" t="s">
        <v>321</v>
      </c>
      <c r="D77" s="65" t="s">
        <v>676</v>
      </c>
    </row>
    <row r="78" spans="1:4" ht="25.5">
      <c r="A78" s="60" t="s">
        <v>475</v>
      </c>
      <c r="B78" s="60" t="s">
        <v>476</v>
      </c>
      <c r="C78" s="61" t="s">
        <v>321</v>
      </c>
      <c r="D78" s="65" t="s">
        <v>677</v>
      </c>
    </row>
    <row r="79" spans="1:4" ht="25.5">
      <c r="A79" s="60" t="s">
        <v>477</v>
      </c>
      <c r="B79" s="60" t="s">
        <v>478</v>
      </c>
      <c r="C79" s="61" t="s">
        <v>321</v>
      </c>
      <c r="D79" s="65" t="s">
        <v>678</v>
      </c>
    </row>
    <row r="80" spans="1:4" ht="25.5">
      <c r="A80" s="60" t="s">
        <v>479</v>
      </c>
      <c r="B80" s="60" t="s">
        <v>480</v>
      </c>
      <c r="C80" s="61" t="s">
        <v>321</v>
      </c>
      <c r="D80" s="65" t="s">
        <v>679</v>
      </c>
    </row>
    <row r="81" spans="1:4" ht="25.5">
      <c r="A81" s="60" t="s">
        <v>481</v>
      </c>
      <c r="B81" s="60" t="s">
        <v>482</v>
      </c>
      <c r="C81" s="61" t="s">
        <v>321</v>
      </c>
      <c r="D81" s="65" t="s">
        <v>680</v>
      </c>
    </row>
    <row r="82" spans="1:4" ht="25.5">
      <c r="A82" s="60" t="s">
        <v>483</v>
      </c>
      <c r="B82" s="60" t="s">
        <v>484</v>
      </c>
      <c r="C82" s="61" t="s">
        <v>321</v>
      </c>
      <c r="D82" s="65" t="s">
        <v>681</v>
      </c>
    </row>
    <row r="83" spans="1:4" ht="38.25">
      <c r="A83" s="60" t="s">
        <v>485</v>
      </c>
      <c r="B83" s="60" t="s">
        <v>486</v>
      </c>
      <c r="C83" s="61" t="s">
        <v>321</v>
      </c>
      <c r="D83" s="65" t="s">
        <v>682</v>
      </c>
    </row>
    <row r="84" spans="1:4" ht="51">
      <c r="A84" s="60" t="s">
        <v>487</v>
      </c>
      <c r="B84" s="60" t="s">
        <v>488</v>
      </c>
      <c r="C84" s="61" t="s">
        <v>321</v>
      </c>
      <c r="D84" s="65" t="s">
        <v>683</v>
      </c>
    </row>
    <row r="85" spans="1:4" ht="38.25">
      <c r="A85" s="60" t="s">
        <v>489</v>
      </c>
      <c r="B85" s="60" t="s">
        <v>490</v>
      </c>
      <c r="C85" s="61" t="s">
        <v>321</v>
      </c>
      <c r="D85" s="65" t="s">
        <v>684</v>
      </c>
    </row>
    <row r="86" spans="1:4" ht="25.5">
      <c r="A86" s="60" t="s">
        <v>491</v>
      </c>
      <c r="B86" s="60" t="s">
        <v>492</v>
      </c>
      <c r="C86" s="61" t="s">
        <v>321</v>
      </c>
      <c r="D86" s="65" t="s">
        <v>685</v>
      </c>
    </row>
    <row r="87" spans="1:4" ht="25.5">
      <c r="A87" s="60" t="s">
        <v>493</v>
      </c>
      <c r="B87" s="60" t="s">
        <v>494</v>
      </c>
      <c r="C87" s="61" t="s">
        <v>321</v>
      </c>
      <c r="D87" s="65" t="s">
        <v>686</v>
      </c>
    </row>
    <row r="88" spans="1:4" ht="25.5">
      <c r="A88" s="60" t="s">
        <v>495</v>
      </c>
      <c r="B88" s="60" t="s">
        <v>496</v>
      </c>
      <c r="C88" s="61" t="s">
        <v>321</v>
      </c>
      <c r="D88" s="65" t="s">
        <v>687</v>
      </c>
    </row>
    <row r="89" spans="1:4" ht="38.25">
      <c r="A89" s="60" t="s">
        <v>497</v>
      </c>
      <c r="B89" s="60" t="s">
        <v>498</v>
      </c>
      <c r="C89" s="61" t="s">
        <v>321</v>
      </c>
      <c r="D89" s="65" t="s">
        <v>688</v>
      </c>
    </row>
    <row r="90" spans="1:4" ht="25.5">
      <c r="A90" s="60" t="s">
        <v>499</v>
      </c>
      <c r="B90" s="60" t="s">
        <v>500</v>
      </c>
      <c r="C90" s="61" t="s">
        <v>321</v>
      </c>
      <c r="D90" s="65" t="s">
        <v>689</v>
      </c>
    </row>
    <row r="91" spans="1:4" ht="25.5">
      <c r="A91" s="60" t="s">
        <v>501</v>
      </c>
      <c r="B91" s="60" t="s">
        <v>502</v>
      </c>
      <c r="C91" s="61" t="s">
        <v>321</v>
      </c>
      <c r="D91" s="65" t="s">
        <v>690</v>
      </c>
    </row>
    <row r="92" spans="1:4" ht="38.25">
      <c r="A92" s="60" t="s">
        <v>503</v>
      </c>
      <c r="B92" s="60" t="s">
        <v>504</v>
      </c>
      <c r="C92" s="61" t="s">
        <v>321</v>
      </c>
      <c r="D92" s="65" t="s">
        <v>691</v>
      </c>
    </row>
    <row r="93" spans="1:4" ht="25.5">
      <c r="A93" s="60" t="s">
        <v>505</v>
      </c>
      <c r="B93" s="64" t="s">
        <v>373</v>
      </c>
      <c r="C93" s="61" t="s">
        <v>321</v>
      </c>
      <c r="D93" s="65" t="s">
        <v>692</v>
      </c>
    </row>
    <row r="94" spans="1:4" ht="25.5">
      <c r="A94" s="60" t="s">
        <v>506</v>
      </c>
      <c r="B94" s="60" t="s">
        <v>507</v>
      </c>
      <c r="C94" s="61" t="s">
        <v>321</v>
      </c>
      <c r="D94" s="65" t="s">
        <v>693</v>
      </c>
    </row>
    <row r="95" spans="1:4" ht="25.5">
      <c r="A95" s="60" t="s">
        <v>508</v>
      </c>
      <c r="B95" s="64" t="s">
        <v>373</v>
      </c>
      <c r="C95" s="61" t="s">
        <v>321</v>
      </c>
      <c r="D95" s="65" t="s">
        <v>694</v>
      </c>
    </row>
    <row r="96" spans="1:4" ht="63.75">
      <c r="A96" s="60" t="s">
        <v>509</v>
      </c>
      <c r="B96" s="60" t="s">
        <v>510</v>
      </c>
      <c r="C96" s="61" t="s">
        <v>321</v>
      </c>
      <c r="D96" s="65" t="s">
        <v>695</v>
      </c>
    </row>
    <row r="97" spans="1:4" ht="38.25">
      <c r="A97" s="60" t="s">
        <v>511</v>
      </c>
      <c r="B97" s="60" t="s">
        <v>512</v>
      </c>
      <c r="C97" s="61" t="s">
        <v>321</v>
      </c>
      <c r="D97" s="65" t="s">
        <v>696</v>
      </c>
    </row>
    <row r="98" spans="1:4" ht="25.5">
      <c r="A98" s="60" t="s">
        <v>513</v>
      </c>
      <c r="B98" s="60" t="s">
        <v>514</v>
      </c>
      <c r="C98" s="61" t="s">
        <v>321</v>
      </c>
      <c r="D98" s="65" t="s">
        <v>697</v>
      </c>
    </row>
    <row r="99" spans="1:4" ht="38.25">
      <c r="A99" s="60" t="s">
        <v>515</v>
      </c>
      <c r="B99" s="64" t="s">
        <v>373</v>
      </c>
      <c r="C99" s="61" t="s">
        <v>321</v>
      </c>
      <c r="D99" s="65" t="s">
        <v>698</v>
      </c>
    </row>
    <row r="100" spans="1:4" ht="25.5">
      <c r="A100" s="60" t="s">
        <v>516</v>
      </c>
      <c r="B100" s="64" t="s">
        <v>373</v>
      </c>
      <c r="C100" s="61" t="s">
        <v>321</v>
      </c>
      <c r="D100" s="65" t="s">
        <v>699</v>
      </c>
    </row>
    <row r="101" spans="1:4" ht="38.25">
      <c r="A101" s="60" t="s">
        <v>517</v>
      </c>
      <c r="B101" s="64" t="s">
        <v>373</v>
      </c>
      <c r="C101" s="61" t="s">
        <v>321</v>
      </c>
      <c r="D101" s="65" t="s">
        <v>700</v>
      </c>
    </row>
    <row r="102" spans="1:4" ht="38.25">
      <c r="A102" s="60" t="s">
        <v>518</v>
      </c>
      <c r="B102" s="64" t="s">
        <v>373</v>
      </c>
      <c r="C102" s="61" t="s">
        <v>321</v>
      </c>
      <c r="D102" s="65" t="s">
        <v>701</v>
      </c>
    </row>
    <row r="103" spans="1:4" ht="51">
      <c r="A103" s="60" t="s">
        <v>519</v>
      </c>
      <c r="B103" s="60" t="s">
        <v>520</v>
      </c>
      <c r="C103" s="61" t="s">
        <v>321</v>
      </c>
      <c r="D103" s="65" t="s">
        <v>702</v>
      </c>
    </row>
    <row r="104" spans="1:4" ht="38.25">
      <c r="A104" s="60" t="s">
        <v>521</v>
      </c>
      <c r="B104" s="60" t="s">
        <v>522</v>
      </c>
      <c r="C104" s="61" t="s">
        <v>321</v>
      </c>
      <c r="D104" s="65" t="s">
        <v>703</v>
      </c>
    </row>
    <row r="105" spans="1:4" ht="38.25">
      <c r="A105" s="60" t="s">
        <v>523</v>
      </c>
      <c r="B105" s="60" t="s">
        <v>524</v>
      </c>
      <c r="C105" s="61" t="s">
        <v>321</v>
      </c>
      <c r="D105" s="65" t="s">
        <v>704</v>
      </c>
    </row>
    <row r="106" spans="1:4" ht="25.5">
      <c r="A106" s="60" t="s">
        <v>525</v>
      </c>
      <c r="B106" s="64" t="s">
        <v>373</v>
      </c>
      <c r="C106" s="61" t="s">
        <v>321</v>
      </c>
      <c r="D106" s="65" t="s">
        <v>705</v>
      </c>
    </row>
    <row r="107" spans="1:4" ht="25.5">
      <c r="A107" s="60" t="s">
        <v>526</v>
      </c>
      <c r="B107" s="60" t="s">
        <v>527</v>
      </c>
      <c r="C107" s="61" t="s">
        <v>321</v>
      </c>
      <c r="D107" s="65" t="s">
        <v>528</v>
      </c>
    </row>
    <row r="108" spans="1:4" ht="51">
      <c r="A108" s="60" t="s">
        <v>529</v>
      </c>
      <c r="B108" s="60" t="s">
        <v>530</v>
      </c>
      <c r="C108" s="61" t="s">
        <v>321</v>
      </c>
      <c r="D108" s="65" t="s">
        <v>706</v>
      </c>
    </row>
    <row r="109" spans="1:4" ht="25.5">
      <c r="A109" s="60" t="s">
        <v>531</v>
      </c>
      <c r="B109" s="60" t="s">
        <v>532</v>
      </c>
      <c r="C109" s="61" t="s">
        <v>321</v>
      </c>
      <c r="D109" s="65" t="s">
        <v>707</v>
      </c>
    </row>
    <row r="110" spans="1:4" ht="25.5">
      <c r="A110" s="60" t="s">
        <v>533</v>
      </c>
      <c r="B110" s="60" t="s">
        <v>534</v>
      </c>
      <c r="C110" s="61" t="s">
        <v>321</v>
      </c>
      <c r="D110" s="65" t="s">
        <v>708</v>
      </c>
    </row>
    <row r="111" spans="1:4" ht="38.25">
      <c r="A111" s="60" t="s">
        <v>535</v>
      </c>
      <c r="B111" s="60" t="s">
        <v>536</v>
      </c>
      <c r="C111" s="61" t="s">
        <v>321</v>
      </c>
      <c r="D111" s="65" t="s">
        <v>709</v>
      </c>
    </row>
    <row r="112" spans="1:4" ht="51">
      <c r="A112" s="60" t="s">
        <v>537</v>
      </c>
      <c r="B112" s="60" t="s">
        <v>538</v>
      </c>
      <c r="C112" s="61" t="s">
        <v>321</v>
      </c>
      <c r="D112" s="65" t="s">
        <v>710</v>
      </c>
    </row>
    <row r="113" spans="1:4" ht="38.25">
      <c r="A113" s="60" t="s">
        <v>539</v>
      </c>
      <c r="B113" s="60" t="s">
        <v>540</v>
      </c>
      <c r="C113" s="61" t="s">
        <v>321</v>
      </c>
      <c r="D113" s="65" t="s">
        <v>711</v>
      </c>
    </row>
    <row r="114" spans="1:4" ht="38.25">
      <c r="A114" s="60" t="s">
        <v>541</v>
      </c>
      <c r="B114" s="60" t="s">
        <v>542</v>
      </c>
      <c r="C114" s="61" t="s">
        <v>321</v>
      </c>
      <c r="D114" s="65" t="s">
        <v>712</v>
      </c>
    </row>
    <row r="115" spans="1:4" ht="25.5">
      <c r="A115" s="60" t="s">
        <v>543</v>
      </c>
      <c r="B115" s="60" t="s">
        <v>544</v>
      </c>
      <c r="C115" s="61" t="s">
        <v>321</v>
      </c>
      <c r="D115" s="65" t="s">
        <v>713</v>
      </c>
    </row>
    <row r="116" spans="1:4" ht="25.5">
      <c r="A116" s="60" t="s">
        <v>545</v>
      </c>
      <c r="B116" s="60" t="s">
        <v>546</v>
      </c>
      <c r="C116" s="61" t="s">
        <v>321</v>
      </c>
      <c r="D116" s="65" t="s">
        <v>714</v>
      </c>
    </row>
    <row r="117" spans="1:4" ht="25.5">
      <c r="A117" s="60" t="s">
        <v>547</v>
      </c>
      <c r="B117" s="60" t="s">
        <v>548</v>
      </c>
      <c r="C117" s="61" t="s">
        <v>321</v>
      </c>
      <c r="D117" s="65" t="s">
        <v>715</v>
      </c>
    </row>
    <row r="118" spans="1:4" ht="25.5">
      <c r="A118" s="60" t="s">
        <v>549</v>
      </c>
      <c r="B118" s="60" t="s">
        <v>550</v>
      </c>
      <c r="C118" s="61" t="s">
        <v>321</v>
      </c>
      <c r="D118" s="65" t="s">
        <v>716</v>
      </c>
    </row>
    <row r="119" spans="1:4" ht="25.5">
      <c r="A119" s="60" t="s">
        <v>551</v>
      </c>
      <c r="B119" s="60" t="s">
        <v>552</v>
      </c>
      <c r="C119" s="61" t="s">
        <v>321</v>
      </c>
      <c r="D119" s="65" t="s">
        <v>717</v>
      </c>
    </row>
    <row r="120" spans="1:4" ht="25.5">
      <c r="A120" s="60" t="s">
        <v>553</v>
      </c>
      <c r="B120" s="64" t="s">
        <v>373</v>
      </c>
      <c r="C120" s="61" t="s">
        <v>321</v>
      </c>
      <c r="D120" s="65" t="s">
        <v>718</v>
      </c>
    </row>
    <row r="121" spans="1:4" ht="38.25">
      <c r="A121" s="60" t="s">
        <v>554</v>
      </c>
      <c r="B121" s="64" t="s">
        <v>373</v>
      </c>
      <c r="C121" s="61" t="s">
        <v>321</v>
      </c>
      <c r="D121" s="65" t="s">
        <v>719</v>
      </c>
    </row>
    <row r="122" spans="1:4" ht="25.5">
      <c r="A122" s="60" t="s">
        <v>555</v>
      </c>
      <c r="B122" s="60" t="s">
        <v>556</v>
      </c>
      <c r="C122" s="61" t="s">
        <v>321</v>
      </c>
      <c r="D122" s="65" t="s">
        <v>720</v>
      </c>
    </row>
    <row r="123" spans="1:4" ht="38.25">
      <c r="A123" s="60" t="s">
        <v>557</v>
      </c>
      <c r="B123" s="60" t="s">
        <v>558</v>
      </c>
      <c r="C123" s="61" t="s">
        <v>321</v>
      </c>
      <c r="D123" s="65" t="s">
        <v>721</v>
      </c>
    </row>
    <row r="124" spans="1:4" ht="25.5">
      <c r="A124" s="60" t="s">
        <v>559</v>
      </c>
      <c r="B124" s="60" t="s">
        <v>560</v>
      </c>
      <c r="C124" s="61" t="s">
        <v>321</v>
      </c>
      <c r="D124" s="65" t="s">
        <v>722</v>
      </c>
    </row>
    <row r="125" spans="1:4" ht="38.25">
      <c r="A125" s="60" t="s">
        <v>561</v>
      </c>
      <c r="B125" s="60" t="s">
        <v>562</v>
      </c>
      <c r="C125" s="61" t="s">
        <v>321</v>
      </c>
      <c r="D125" s="65" t="s">
        <v>723</v>
      </c>
    </row>
    <row r="126" spans="1:4" ht="25.5">
      <c r="A126" s="60" t="s">
        <v>563</v>
      </c>
      <c r="B126" s="60" t="s">
        <v>564</v>
      </c>
      <c r="C126" s="61" t="s">
        <v>321</v>
      </c>
      <c r="D126" s="65" t="s">
        <v>724</v>
      </c>
    </row>
    <row r="127" spans="1:4" ht="38.25">
      <c r="A127" s="60" t="s">
        <v>565</v>
      </c>
      <c r="B127" s="60" t="s">
        <v>566</v>
      </c>
      <c r="C127" s="61" t="s">
        <v>321</v>
      </c>
      <c r="D127" s="65" t="s">
        <v>725</v>
      </c>
    </row>
    <row r="128" spans="1:4" ht="25.5">
      <c r="A128" s="60" t="s">
        <v>567</v>
      </c>
      <c r="B128" s="60" t="s">
        <v>568</v>
      </c>
      <c r="C128" s="61" t="s">
        <v>321</v>
      </c>
      <c r="D128" s="65" t="s">
        <v>726</v>
      </c>
    </row>
    <row r="129" spans="1:4" ht="38.25">
      <c r="A129" s="60" t="s">
        <v>569</v>
      </c>
      <c r="B129" s="64" t="s">
        <v>373</v>
      </c>
      <c r="C129" s="61" t="s">
        <v>321</v>
      </c>
      <c r="D129" s="65" t="s">
        <v>727</v>
      </c>
    </row>
    <row r="130" spans="1:4" ht="25.5">
      <c r="A130" s="60" t="s">
        <v>570</v>
      </c>
      <c r="B130" s="64" t="s">
        <v>373</v>
      </c>
      <c r="C130" s="61" t="s">
        <v>321</v>
      </c>
      <c r="D130" s="65" t="s">
        <v>728</v>
      </c>
    </row>
    <row r="131" spans="1:4" ht="51">
      <c r="A131" s="60" t="s">
        <v>571</v>
      </c>
      <c r="B131" s="64" t="s">
        <v>373</v>
      </c>
      <c r="C131" s="61" t="s">
        <v>321</v>
      </c>
      <c r="D131" s="65" t="s">
        <v>729</v>
      </c>
    </row>
  </sheetData>
  <mergeCells count="1">
    <mergeCell ref="F3:L3"/>
  </mergeCells>
  <dataValidations count="1">
    <dataValidation type="list" allowBlank="1" showInputMessage="1" showErrorMessage="1" sqref="C2:C131" xr:uid="{E09E0DB2-67C5-4DFF-AC31-4870391D905D}">
      <formula1>$O$1:$O$8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
  <sheetViews>
    <sheetView zoomScale="90" zoomScaleNormal="90" zoomScalePageLayoutView="60" workbookViewId="0">
      <selection sqref="A1:F5"/>
    </sheetView>
  </sheetViews>
  <sheetFormatPr defaultColWidth="10.625" defaultRowHeight="15.75"/>
  <cols>
    <col min="1" max="1" width="34.625" style="19" customWidth="1"/>
    <col min="2" max="6" width="34.125" style="12" customWidth="1"/>
    <col min="7" max="7" width="13.625" style="12" customWidth="1"/>
    <col min="8" max="16384" width="10.625" style="12"/>
  </cols>
  <sheetData>
    <row r="1" spans="1:7" s="9" customFormat="1" ht="31.5">
      <c r="A1" s="110" t="s">
        <v>73</v>
      </c>
      <c r="B1" s="110"/>
      <c r="C1" s="110"/>
      <c r="D1" s="110"/>
      <c r="E1" s="110"/>
      <c r="F1" s="110"/>
    </row>
    <row r="2" spans="1:7" s="10" customFormat="1" ht="21">
      <c r="A2" s="108" t="s">
        <v>74</v>
      </c>
      <c r="B2" s="108" t="s">
        <v>75</v>
      </c>
      <c r="C2" s="108"/>
      <c r="D2" s="108"/>
      <c r="E2" s="108"/>
      <c r="F2" s="108"/>
    </row>
    <row r="3" spans="1:7" s="10" customFormat="1" ht="21">
      <c r="A3" s="108"/>
      <c r="B3" s="11" t="s">
        <v>76</v>
      </c>
      <c r="C3" s="11" t="s">
        <v>77</v>
      </c>
      <c r="D3" s="11" t="s">
        <v>78</v>
      </c>
      <c r="E3" s="11" t="s">
        <v>79</v>
      </c>
      <c r="F3" s="11" t="s">
        <v>80</v>
      </c>
      <c r="G3" s="12"/>
    </row>
    <row r="4" spans="1:7" s="15" customFormat="1" ht="120.75" customHeight="1">
      <c r="A4" s="109" t="s">
        <v>81</v>
      </c>
      <c r="B4" s="13"/>
      <c r="C4" s="14" t="s">
        <v>82</v>
      </c>
      <c r="D4" s="14" t="s">
        <v>90</v>
      </c>
      <c r="E4" s="14" t="s">
        <v>83</v>
      </c>
      <c r="F4" s="14" t="s">
        <v>91</v>
      </c>
    </row>
    <row r="5" spans="1:7" s="15" customFormat="1" ht="78.95" customHeight="1">
      <c r="A5" s="109"/>
      <c r="B5" s="13"/>
      <c r="C5" s="14" t="s">
        <v>248</v>
      </c>
      <c r="D5" s="16"/>
      <c r="E5" s="16"/>
      <c r="F5" s="16"/>
    </row>
    <row r="6" spans="1:7" s="15" customFormat="1">
      <c r="A6" s="17"/>
      <c r="B6" s="18"/>
      <c r="C6" s="17"/>
      <c r="D6" s="17"/>
      <c r="E6" s="17"/>
      <c r="F6" s="17"/>
    </row>
    <row r="7" spans="1:7" ht="37.5" customHeight="1">
      <c r="A7" s="111" t="s">
        <v>247</v>
      </c>
      <c r="B7" s="111"/>
      <c r="C7" s="111"/>
      <c r="D7" s="111"/>
      <c r="E7" s="111"/>
      <c r="F7" s="111"/>
    </row>
    <row r="8" spans="1:7">
      <c r="A8" s="42"/>
      <c r="B8" s="42"/>
      <c r="C8" s="42"/>
      <c r="D8" s="42"/>
      <c r="E8" s="42"/>
      <c r="F8" s="42"/>
    </row>
    <row r="9" spans="1:7">
      <c r="A9" s="43"/>
      <c r="B9" s="44"/>
      <c r="C9" s="44"/>
      <c r="D9" s="44"/>
      <c r="E9" s="44"/>
      <c r="F9" s="44"/>
    </row>
    <row r="10" spans="1:7">
      <c r="A10" s="43"/>
      <c r="B10" s="44"/>
      <c r="C10" s="44"/>
      <c r="D10" s="44"/>
      <c r="E10" s="44"/>
      <c r="F10" s="44"/>
    </row>
    <row r="11" spans="1:7">
      <c r="A11" s="43"/>
      <c r="B11" s="44"/>
      <c r="C11" s="44"/>
      <c r="D11" s="44"/>
      <c r="E11" s="44"/>
      <c r="F11" s="44"/>
    </row>
    <row r="12" spans="1:7">
      <c r="A12" s="43"/>
      <c r="B12" s="44"/>
      <c r="C12" s="44"/>
      <c r="D12" s="44"/>
      <c r="E12" s="44"/>
      <c r="F12" s="44"/>
    </row>
  </sheetData>
  <sheetProtection selectLockedCells="1" sort="0" selectUnlockedCells="1"/>
  <mergeCells count="5">
    <mergeCell ref="A2:A3"/>
    <mergeCell ref="B2:F2"/>
    <mergeCell ref="A4:A5"/>
    <mergeCell ref="A1:F1"/>
    <mergeCell ref="A7:F7"/>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5"/>
  <sheetViews>
    <sheetView zoomScale="60" zoomScaleNormal="60" zoomScalePageLayoutView="60" workbookViewId="0">
      <selection activeCell="B6" sqref="B6:F10"/>
    </sheetView>
  </sheetViews>
  <sheetFormatPr defaultColWidth="10.625" defaultRowHeight="15.75"/>
  <cols>
    <col min="1" max="1" width="34.625" style="19" customWidth="1"/>
    <col min="2" max="2" width="49.125" style="12" customWidth="1"/>
    <col min="3" max="6" width="34.125" style="12" customWidth="1"/>
    <col min="7" max="7" width="19.375" style="12" customWidth="1"/>
    <col min="8" max="16384" width="10.625" style="12"/>
  </cols>
  <sheetData>
    <row r="1" spans="1:6" s="9" customFormat="1" ht="30.95" customHeight="1">
      <c r="A1" s="110" t="s">
        <v>1</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241.5" customHeight="1">
      <c r="A4" s="109" t="s">
        <v>9</v>
      </c>
      <c r="B4" s="13" t="s">
        <v>182</v>
      </c>
      <c r="C4" s="13" t="s">
        <v>93</v>
      </c>
      <c r="D4" s="13"/>
      <c r="E4" s="13"/>
      <c r="F4" s="13"/>
    </row>
    <row r="5" spans="1:6" s="18" customFormat="1" ht="117.95" customHeight="1">
      <c r="A5" s="109"/>
      <c r="B5" s="22"/>
      <c r="C5" s="13" t="s">
        <v>94</v>
      </c>
      <c r="D5" s="13"/>
      <c r="E5" s="13"/>
      <c r="F5" s="13"/>
    </row>
    <row r="6" spans="1:6" s="18" customFormat="1" ht="230.45" customHeight="1">
      <c r="A6" s="114" t="s">
        <v>10</v>
      </c>
      <c r="B6" s="23" t="s">
        <v>183</v>
      </c>
      <c r="C6" s="23" t="s">
        <v>184</v>
      </c>
      <c r="D6" s="23" t="s">
        <v>98</v>
      </c>
      <c r="E6" s="23" t="s">
        <v>251</v>
      </c>
      <c r="F6" s="23" t="s">
        <v>100</v>
      </c>
    </row>
    <row r="7" spans="1:6" s="18" customFormat="1" ht="164.45" customHeight="1">
      <c r="A7" s="114"/>
      <c r="B7" s="24"/>
      <c r="C7" s="23" t="s">
        <v>95</v>
      </c>
      <c r="D7" s="23" t="s">
        <v>185</v>
      </c>
      <c r="E7" s="23" t="s">
        <v>11</v>
      </c>
      <c r="F7" s="24"/>
    </row>
    <row r="8" spans="1:6" s="18" customFormat="1" ht="104.45" customHeight="1">
      <c r="A8" s="114"/>
      <c r="B8" s="24"/>
      <c r="C8" s="23" t="s">
        <v>96</v>
      </c>
      <c r="D8" s="23" t="s">
        <v>99</v>
      </c>
      <c r="E8" s="23"/>
      <c r="F8" s="23"/>
    </row>
    <row r="9" spans="1:6" s="18" customFormat="1" ht="135.6" customHeight="1">
      <c r="A9" s="114"/>
      <c r="B9" s="23"/>
      <c r="C9" s="23" t="s">
        <v>97</v>
      </c>
      <c r="D9" s="23" t="s">
        <v>186</v>
      </c>
      <c r="E9" s="24"/>
      <c r="F9" s="23"/>
    </row>
    <row r="10" spans="1:6" s="18" customFormat="1" ht="139.5" customHeight="1">
      <c r="A10" s="114"/>
      <c r="B10" s="23"/>
      <c r="C10" s="23" t="s">
        <v>187</v>
      </c>
      <c r="D10" s="23" t="s">
        <v>188</v>
      </c>
      <c r="E10" s="23"/>
      <c r="F10" s="23"/>
    </row>
    <row r="11" spans="1:6" s="18" customFormat="1" ht="148.5" customHeight="1">
      <c r="A11" s="109" t="s">
        <v>12</v>
      </c>
      <c r="B11" s="22"/>
      <c r="C11" s="13" t="s">
        <v>189</v>
      </c>
      <c r="D11" s="13" t="s">
        <v>190</v>
      </c>
      <c r="E11" s="13" t="s">
        <v>13</v>
      </c>
      <c r="F11" s="22"/>
    </row>
    <row r="12" spans="1:6" s="18" customFormat="1" ht="164.1" customHeight="1">
      <c r="A12" s="109"/>
      <c r="B12" s="13"/>
      <c r="C12" s="13" t="s">
        <v>191</v>
      </c>
      <c r="D12" s="13" t="s">
        <v>192</v>
      </c>
      <c r="E12" s="13"/>
      <c r="F12" s="22"/>
    </row>
    <row r="13" spans="1:6" s="18" customFormat="1" ht="186.95" customHeight="1">
      <c r="A13" s="113" t="s">
        <v>14</v>
      </c>
      <c r="B13" s="23" t="s">
        <v>193</v>
      </c>
      <c r="C13" s="41" t="s">
        <v>194</v>
      </c>
      <c r="D13" s="23" t="s">
        <v>195</v>
      </c>
      <c r="E13" s="24"/>
      <c r="F13" s="24"/>
    </row>
    <row r="14" spans="1:6" s="18" customFormat="1" ht="120.95" customHeight="1">
      <c r="A14" s="113"/>
      <c r="B14" s="23" t="s">
        <v>92</v>
      </c>
      <c r="C14" s="24"/>
      <c r="D14" s="23"/>
      <c r="E14" s="24"/>
      <c r="F14" s="24"/>
    </row>
    <row r="15" spans="1:6" s="18" customFormat="1">
      <c r="F15" s="25"/>
    </row>
  </sheetData>
  <sheetProtection selectLockedCells="1" sort="0" selectUnlockedCells="1"/>
  <mergeCells count="7">
    <mergeCell ref="B2:F2"/>
    <mergeCell ref="A1:F1"/>
    <mergeCell ref="A2:A3"/>
    <mergeCell ref="A13:A14"/>
    <mergeCell ref="A4:A5"/>
    <mergeCell ref="A11:A12"/>
    <mergeCell ref="A6:A10"/>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
  <sheetViews>
    <sheetView zoomScaleNormal="100" zoomScalePageLayoutView="50" workbookViewId="0">
      <selection activeCell="D15" sqref="D15"/>
    </sheetView>
  </sheetViews>
  <sheetFormatPr defaultColWidth="10.625" defaultRowHeight="15.75"/>
  <cols>
    <col min="1" max="1" width="34.625" style="19" customWidth="1"/>
    <col min="2" max="6" width="34.125" style="12" customWidth="1"/>
    <col min="7" max="7" width="18.375" style="12" customWidth="1"/>
    <col min="8" max="16384" width="10.625" style="12"/>
  </cols>
  <sheetData>
    <row r="1" spans="1:6" s="9" customFormat="1" ht="31.5">
      <c r="A1" s="110" t="s">
        <v>15</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93.6" customHeight="1">
      <c r="A4" s="14" t="s">
        <v>16</v>
      </c>
      <c r="B4" s="16"/>
      <c r="C4" s="16"/>
      <c r="D4" s="14" t="s">
        <v>17</v>
      </c>
      <c r="E4" s="16"/>
      <c r="F4" s="14"/>
    </row>
    <row r="5" spans="1:6" s="18" customFormat="1" ht="197.1" customHeight="1">
      <c r="A5" s="26" t="s">
        <v>18</v>
      </c>
      <c r="B5" s="26"/>
      <c r="C5" s="24"/>
      <c r="D5" s="27"/>
      <c r="E5" s="26" t="s">
        <v>181</v>
      </c>
      <c r="F5" s="26"/>
    </row>
    <row r="6" spans="1:6">
      <c r="A6" s="17"/>
      <c r="E6" s="28"/>
    </row>
  </sheetData>
  <sheetProtection selectLockedCells="1" sort="0" selectUnlockedCells="1"/>
  <mergeCells count="3">
    <mergeCell ref="A1:F1"/>
    <mergeCell ref="A2:A3"/>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2"/>
  <sheetViews>
    <sheetView zoomScale="54" zoomScaleNormal="54" zoomScalePageLayoutView="50" workbookViewId="0">
      <selection activeCell="B3" sqref="B3"/>
    </sheetView>
  </sheetViews>
  <sheetFormatPr defaultColWidth="10.625" defaultRowHeight="15.75"/>
  <cols>
    <col min="1" max="1" width="34.625" style="32" customWidth="1"/>
    <col min="2" max="6" width="34.125" style="31" customWidth="1"/>
    <col min="7" max="16384" width="10.625" style="31"/>
  </cols>
  <sheetData>
    <row r="1" spans="1:6" s="29" customFormat="1" ht="31.5">
      <c r="A1" s="110" t="s">
        <v>19</v>
      </c>
      <c r="B1" s="110"/>
      <c r="C1" s="110"/>
      <c r="D1" s="110"/>
      <c r="E1" s="110"/>
      <c r="F1" s="110"/>
    </row>
    <row r="2" spans="1:6" s="30" customFormat="1" ht="21">
      <c r="A2" s="112" t="s">
        <v>2</v>
      </c>
      <c r="B2" s="112" t="s">
        <v>3</v>
      </c>
      <c r="C2" s="112"/>
      <c r="D2" s="112"/>
      <c r="E2" s="112"/>
      <c r="F2" s="112"/>
    </row>
    <row r="3" spans="1:6" s="30" customFormat="1" ht="21">
      <c r="A3" s="112"/>
      <c r="B3" s="20" t="s">
        <v>4</v>
      </c>
      <c r="C3" s="20" t="s">
        <v>5</v>
      </c>
      <c r="D3" s="20" t="s">
        <v>6</v>
      </c>
      <c r="E3" s="20" t="s">
        <v>7</v>
      </c>
      <c r="F3" s="20" t="s">
        <v>8</v>
      </c>
    </row>
    <row r="4" spans="1:6" s="17" customFormat="1" ht="194.1" customHeight="1">
      <c r="A4" s="109" t="s">
        <v>20</v>
      </c>
      <c r="B4" s="14"/>
      <c r="C4" s="14" t="s">
        <v>101</v>
      </c>
      <c r="D4" s="14" t="s">
        <v>176</v>
      </c>
      <c r="E4" s="14"/>
      <c r="F4" s="14"/>
    </row>
    <row r="5" spans="1:6" s="17" customFormat="1" ht="101.45" customHeight="1">
      <c r="A5" s="109"/>
      <c r="B5" s="14"/>
      <c r="C5" s="16"/>
      <c r="D5" s="14" t="s">
        <v>104</v>
      </c>
      <c r="E5" s="14"/>
      <c r="F5" s="14"/>
    </row>
    <row r="6" spans="1:6" s="17" customFormat="1" ht="228" customHeight="1">
      <c r="A6" s="114" t="s">
        <v>21</v>
      </c>
      <c r="B6" s="27"/>
      <c r="C6" s="26" t="s">
        <v>102</v>
      </c>
      <c r="D6" s="26" t="s">
        <v>177</v>
      </c>
      <c r="E6" s="27"/>
      <c r="F6" s="26" t="s">
        <v>109</v>
      </c>
    </row>
    <row r="7" spans="1:6" s="17" customFormat="1" ht="174" customHeight="1">
      <c r="A7" s="114"/>
      <c r="B7" s="26"/>
      <c r="C7" s="26" t="s">
        <v>103</v>
      </c>
      <c r="D7" s="26"/>
      <c r="E7" s="26"/>
      <c r="F7" s="26"/>
    </row>
    <row r="8" spans="1:6" s="17" customFormat="1" ht="119.45" customHeight="1">
      <c r="A8" s="109" t="s">
        <v>22</v>
      </c>
      <c r="B8" s="14"/>
      <c r="C8" s="14"/>
      <c r="D8" s="14" t="s">
        <v>105</v>
      </c>
      <c r="E8" s="16"/>
      <c r="F8" s="14"/>
    </row>
    <row r="9" spans="1:6" s="17" customFormat="1" ht="117" customHeight="1">
      <c r="A9" s="109"/>
      <c r="B9" s="14"/>
      <c r="C9" s="14"/>
      <c r="D9" s="14" t="s">
        <v>106</v>
      </c>
      <c r="E9" s="14"/>
      <c r="F9" s="14"/>
    </row>
    <row r="10" spans="1:6" s="17" customFormat="1" ht="186.95" customHeight="1">
      <c r="A10" s="114" t="s">
        <v>23</v>
      </c>
      <c r="B10" s="26"/>
      <c r="C10" s="26" t="s">
        <v>178</v>
      </c>
      <c r="D10" s="26" t="s">
        <v>179</v>
      </c>
      <c r="E10" s="26" t="s">
        <v>107</v>
      </c>
      <c r="F10" s="27"/>
    </row>
    <row r="11" spans="1:6" s="17" customFormat="1" ht="134.44999999999999" customHeight="1">
      <c r="A11" s="114"/>
      <c r="B11" s="27"/>
      <c r="C11" s="26"/>
      <c r="D11" s="26" t="s">
        <v>180</v>
      </c>
      <c r="E11" s="26" t="s">
        <v>108</v>
      </c>
      <c r="F11" s="26"/>
    </row>
    <row r="12" spans="1:6" s="17" customFormat="1"/>
  </sheetData>
  <sheetProtection selectLockedCells="1" sort="0" selectUnlockedCells="1"/>
  <mergeCells count="7">
    <mergeCell ref="A10:A11"/>
    <mergeCell ref="A1:F1"/>
    <mergeCell ref="A2:A3"/>
    <mergeCell ref="A6:A7"/>
    <mergeCell ref="A8:A9"/>
    <mergeCell ref="A4:A5"/>
    <mergeCell ref="B2:F2"/>
  </mergeCells>
  <pageMargins left="0.7" right="0.7" top="0.75" bottom="0.75" header="0.3" footer="0.3"/>
  <pageSetup scale="54" fitToHeight="0" orientation="landscape" r:id="rId1"/>
  <headerFooter>
    <oddFooter>&amp;LCybersecurity Maturity Model Certification (CMMC) Version 1.02&amp;R&amp;P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
  <sheetViews>
    <sheetView zoomScale="54" zoomScaleNormal="54" zoomScalePageLayoutView="50" workbookViewId="0">
      <selection activeCell="C6" sqref="C6"/>
    </sheetView>
  </sheetViews>
  <sheetFormatPr defaultColWidth="10.625" defaultRowHeight="15.75"/>
  <cols>
    <col min="1" max="1" width="34.625" style="19" customWidth="1"/>
    <col min="2" max="6" width="34.125" style="12" customWidth="1"/>
    <col min="7" max="7" width="13.125" style="12" customWidth="1"/>
    <col min="8" max="16384" width="10.625" style="12"/>
  </cols>
  <sheetData>
    <row r="1" spans="1:6" s="9" customFormat="1" ht="31.5">
      <c r="A1" s="110" t="s">
        <v>24</v>
      </c>
      <c r="B1" s="110"/>
      <c r="C1" s="110"/>
      <c r="D1" s="110"/>
      <c r="E1" s="110"/>
      <c r="F1" s="110"/>
    </row>
    <row r="2" spans="1:6" s="21" customFormat="1" ht="21">
      <c r="A2" s="112" t="s">
        <v>2</v>
      </c>
      <c r="B2" s="112" t="s">
        <v>3</v>
      </c>
      <c r="C2" s="112"/>
      <c r="D2" s="112"/>
      <c r="E2" s="112"/>
      <c r="F2" s="112"/>
    </row>
    <row r="3" spans="1:6" s="21" customFormat="1" ht="21">
      <c r="A3" s="112"/>
      <c r="B3" s="20" t="s">
        <v>4</v>
      </c>
      <c r="C3" s="20" t="s">
        <v>5</v>
      </c>
      <c r="D3" s="20" t="s">
        <v>6</v>
      </c>
      <c r="E3" s="20" t="s">
        <v>7</v>
      </c>
      <c r="F3" s="20" t="s">
        <v>8</v>
      </c>
    </row>
    <row r="4" spans="1:6" s="18" customFormat="1" ht="260.10000000000002" customHeight="1">
      <c r="A4" s="109" t="s">
        <v>25</v>
      </c>
      <c r="B4" s="13"/>
      <c r="C4" s="13" t="s">
        <v>110</v>
      </c>
      <c r="D4" s="13" t="s">
        <v>175</v>
      </c>
      <c r="E4" s="13" t="s">
        <v>252</v>
      </c>
      <c r="F4" s="13"/>
    </row>
    <row r="5" spans="1:6" s="18" customFormat="1" ht="229.5" customHeight="1">
      <c r="A5" s="109"/>
      <c r="B5" s="22"/>
      <c r="C5" s="22"/>
      <c r="D5" s="22"/>
      <c r="E5" s="13" t="s">
        <v>253</v>
      </c>
      <c r="F5" s="22"/>
    </row>
    <row r="6" spans="1:6" s="18" customFormat="1" ht="195" customHeight="1">
      <c r="A6" s="26" t="s">
        <v>26</v>
      </c>
      <c r="B6" s="23"/>
      <c r="C6" s="23" t="s">
        <v>111</v>
      </c>
      <c r="D6" s="24"/>
      <c r="E6" s="24"/>
      <c r="F6" s="23"/>
    </row>
    <row r="7" spans="1:6">
      <c r="A7" s="17"/>
      <c r="E7" s="25"/>
    </row>
  </sheetData>
  <sheetProtection selectLockedCells="1" sort="0" selectUnlockedCells="1"/>
  <mergeCells count="4">
    <mergeCell ref="A1:F1"/>
    <mergeCell ref="A2:A3"/>
    <mergeCell ref="B2:F2"/>
    <mergeCell ref="A4:A5"/>
  </mergeCells>
  <pageMargins left="0.7" right="0.7" top="0.75" bottom="0.75" header="0.3" footer="0.3"/>
  <pageSetup scale="54" fitToHeight="0" orientation="landscape" r:id="rId1"/>
  <headerFooter>
    <oddFooter>&amp;LCybersecurity Maturity Model Certification (CMMC) Version 1.02&amp;R&amp;P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3F23EB2048A24987DC8CE7E89BA2CA" ma:contentTypeVersion="2" ma:contentTypeDescription="Create a new document." ma:contentTypeScope="" ma:versionID="ffc1bc5956b27a984ba5de00502a7dd4">
  <xsd:schema xmlns:xsd="http://www.w3.org/2001/XMLSchema" xmlns:xs="http://www.w3.org/2001/XMLSchema" xmlns:p="http://schemas.microsoft.com/office/2006/metadata/properties" xmlns:ns2="8d3f00d4-6cb9-4a73-b6cd-69039b4132b3" targetNamespace="http://schemas.microsoft.com/office/2006/metadata/properties" ma:root="true" ma:fieldsID="76801fabc773ef6da8f8c89f3a73e1fc" ns2:_="">
    <xsd:import namespace="8d3f00d4-6cb9-4a73-b6cd-69039b4132b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f00d4-6cb9-4a73-b6cd-69039b4132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9C780-D6EE-4F9B-A1B2-2AF8E74E99DF}">
  <ds:schemaRefs>
    <ds:schemaRef ds:uri="http://purl.org/dc/elements/1.1/"/>
    <ds:schemaRef ds:uri="http://schemas.microsoft.com/office/2006/documentManagement/types"/>
    <ds:schemaRef ds:uri="8d3f00d4-6cb9-4a73-b6cd-69039b4132b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F9B305-600D-4AD7-B171-E25C7BB7E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f00d4-6cb9-4a73-b6cd-69039b4132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4FD6D8-8812-4CA3-A4C2-A9F4F741D2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39</vt:i4>
      </vt:variant>
    </vt:vector>
  </HeadingPairs>
  <TitlesOfParts>
    <vt:vector size="61" baseType="lpstr">
      <vt:lpstr>Notices</vt:lpstr>
      <vt:lpstr>All Practices</vt:lpstr>
      <vt:lpstr>Practices Per Level &amp; 20 ID'd</vt:lpstr>
      <vt:lpstr>Objective Evidence</vt:lpstr>
      <vt:lpstr>Process Maturity (ML)</vt:lpstr>
      <vt:lpstr>Access Control (AC)</vt:lpstr>
      <vt:lpstr>Asset Management (AM)</vt:lpstr>
      <vt:lpstr>Audit &amp; Accountability (AU)</vt:lpstr>
      <vt:lpstr>Awareness &amp; Training (AT)</vt:lpstr>
      <vt:lpstr>Configuration Management (CM)</vt:lpstr>
      <vt:lpstr>ID &amp; Authentication (IA) </vt:lpstr>
      <vt:lpstr>Incident Response (IR)</vt:lpstr>
      <vt:lpstr>Maintenance (MA)</vt:lpstr>
      <vt:lpstr>Media Protection (MP)</vt:lpstr>
      <vt:lpstr>Personnel Security (PS)</vt:lpstr>
      <vt:lpstr>Physical Protection (PE)</vt:lpstr>
      <vt:lpstr>Recovery (RE)</vt:lpstr>
      <vt:lpstr>Risk Management (RM)</vt:lpstr>
      <vt:lpstr>Security Assessment (CA)</vt:lpstr>
      <vt:lpstr>Situational Awareness (SA)</vt:lpstr>
      <vt:lpstr>System &amp; Comms Protection (SC)</vt:lpstr>
      <vt:lpstr>System &amp; Info. Integrity (SI)</vt:lpstr>
      <vt:lpstr>'Access Control (AC)'!Print_Area</vt:lpstr>
      <vt:lpstr>'Asset Management (AM)'!Print_Area</vt:lpstr>
      <vt:lpstr>'Audit &amp; Accountability (AU)'!Print_Area</vt:lpstr>
      <vt:lpstr>'Awareness &amp; Training (AT)'!Print_Area</vt:lpstr>
      <vt:lpstr>'Configuration Management (CM)'!Print_Area</vt:lpstr>
      <vt:lpstr>'ID &amp; Authentication (IA) '!Print_Area</vt:lpstr>
      <vt:lpstr>'Incident Response (IR)'!Print_Area</vt:lpstr>
      <vt:lpstr>'Maintenance (MA)'!Print_Area</vt:lpstr>
      <vt:lpstr>'Media Protection (MP)'!Print_Area</vt:lpstr>
      <vt:lpstr>Notices!Print_Area</vt:lpstr>
      <vt:lpstr>'Personnel Security (PS)'!Print_Area</vt:lpstr>
      <vt:lpstr>'Physical Protection (PE)'!Print_Area</vt:lpstr>
      <vt:lpstr>'Practices Per Level &amp; 20 ID''d'!Print_Area</vt:lpstr>
      <vt:lpstr>'Process Maturity (ML)'!Print_Area</vt:lpstr>
      <vt:lpstr>'Recovery (RE)'!Print_Area</vt:lpstr>
      <vt:lpstr>'Risk Management (RM)'!Print_Area</vt:lpstr>
      <vt:lpstr>'Security Assessment (CA)'!Print_Area</vt:lpstr>
      <vt:lpstr>'Situational Awareness (SA)'!Print_Area</vt:lpstr>
      <vt:lpstr>'System &amp; Comms Protection (SC)'!Print_Area</vt:lpstr>
      <vt:lpstr>'System &amp; Info. Integrity (SI)'!Print_Area</vt:lpstr>
      <vt:lpstr>'Access Control (AC)'!Print_Titles</vt:lpstr>
      <vt:lpstr>'Asset Management (AM)'!Print_Titles</vt:lpstr>
      <vt:lpstr>'Audit &amp; Accountability (AU)'!Print_Titles</vt:lpstr>
      <vt:lpstr>'Awareness &amp; Training (AT)'!Print_Titles</vt:lpstr>
      <vt:lpstr>'Configuration Management (CM)'!Print_Titles</vt:lpstr>
      <vt:lpstr>'ID &amp; Authentication (IA) '!Print_Titles</vt:lpstr>
      <vt:lpstr>'Incident Response (IR)'!Print_Titles</vt:lpstr>
      <vt:lpstr>'Maintenance (MA)'!Print_Titles</vt:lpstr>
      <vt:lpstr>'Media Protection (MP)'!Print_Titles</vt:lpstr>
      <vt:lpstr>Notices!Print_Titles</vt:lpstr>
      <vt:lpstr>'Personnel Security (PS)'!Print_Titles</vt:lpstr>
      <vt:lpstr>'Physical Protection (PE)'!Print_Titles</vt:lpstr>
      <vt:lpstr>'Process Maturity (ML)'!Print_Titles</vt:lpstr>
      <vt:lpstr>'Recovery (RE)'!Print_Titles</vt:lpstr>
      <vt:lpstr>'Risk Management (RM)'!Print_Titles</vt:lpstr>
      <vt:lpstr>'Security Assessment (CA)'!Print_Titles</vt:lpstr>
      <vt:lpstr>'Situational Awareness (SA)'!Print_Titles</vt:lpstr>
      <vt:lpstr>'System &amp; Comms Protection (SC)'!Print_Titles</vt:lpstr>
      <vt:lpstr>'System &amp; Info. Integrity (SI)'!Print_Titles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2020-03-04T18:04:24Z</dcterms:created>
  <dcterms:modified xsi:type="dcterms:W3CDTF">2022-06-28T23:06:38Z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0x0101002B3F23EB2048A24987DC8CE7E89BA2CA</vt:lpwstr>
  </property>
  <property fmtid="{D5CDD505-2E9C-101B-9397-08002B2CF9AE}" pid="3" name="MSIP_Label_2be01366-9e3a-4cf9-a6e5-ae6dc166512a_Enabled">
    <vt:lpwstr>true</vt:lpwstr>
  </property>
  <property fmtid="{D5CDD505-2E9C-101B-9397-08002B2CF9AE}" pid="4" name="MSIP_Label_2be01366-9e3a-4cf9-a6e5-ae6dc166512a_SetDate">
    <vt:lpwstr>2021-07-08T20:26:15Z</vt:lpwstr>
  </property>
  <property fmtid="{D5CDD505-2E9C-101B-9397-08002B2CF9AE}" pid="5" name="MSIP_Label_2be01366-9e3a-4cf9-a6e5-ae6dc166512a_Method">
    <vt:lpwstr>Privileged</vt:lpwstr>
  </property>
  <property fmtid="{D5CDD505-2E9C-101B-9397-08002B2CF9AE}" pid="6" name="MSIP_Label_2be01366-9e3a-4cf9-a6e5-ae6dc166512a_Name">
    <vt:lpwstr>Public</vt:lpwstr>
  </property>
  <property fmtid="{D5CDD505-2E9C-101B-9397-08002B2CF9AE}" pid="7" name="MSIP_Label_2be01366-9e3a-4cf9-a6e5-ae6dc166512a_SiteId">
    <vt:lpwstr>ba687346-9e31-44df-86ad-99e8a967d008</vt:lpwstr>
  </property>
  <property fmtid="{D5CDD505-2E9C-101B-9397-08002B2CF9AE}" pid="8" name="MSIP_Label_2be01366-9e3a-4cf9-a6e5-ae6dc166512a_ActionId">
    <vt:lpwstr>bf7b1966-4091-42de-9b40-2cb0195a99fb</vt:lpwstr>
  </property>
  <property fmtid="{D5CDD505-2E9C-101B-9397-08002B2CF9AE}" pid="9" name="MSIP_Label_2be01366-9e3a-4cf9-a6e5-ae6dc166512a_ContentBits">
    <vt:lpwstr>0</vt:lpwstr>
  </property>
</Properties>
</file>