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defaultThemeVersion="166925"/>
  <xr:revisionPtr revIDLastSave="14" documentId="13_ncr:1_{87152F59-DA7A-4E77-B8B1-44D164322507}" xr6:coauthVersionLast="47" xr6:coauthVersionMax="47" xr10:uidLastSave="{63EE161F-3E00-45D7-A556-0C4E3CC88F7A}"/>
  <bookViews>
    <workbookView minimized="1" xWindow="3900" yWindow="10425" windowWidth="22335" windowHeight="14625" tabRatio="792" activeTab="4" xr2:uid="{00000000-000D-0000-FFFF-FFFF00000000}"/>
  </bookViews>
  <sheets>
    <sheet name="Notices" sheetId="95" r:id="rId1"/>
    <sheet name="All Practices" sheetId="100" r:id="rId2"/>
    <sheet name="Objective Evidence" sheetId="99" r:id="rId3"/>
    <sheet name="NFO_NCO" sheetId="101" r:id="rId4"/>
    <sheet name="Practices Per Level &amp; 20 ID'd" sheetId="98" r:id="rId5"/>
    <sheet name="Access Control (AC)" sheetId="76" r:id="rId6"/>
    <sheet name="Audit &amp; Accountability (AU)" sheetId="78" r:id="rId7"/>
    <sheet name="Awareness &amp; Training (AT)" sheetId="79" r:id="rId8"/>
    <sheet name="Configuration Management (CM)" sheetId="80" r:id="rId9"/>
    <sheet name="ID &amp; Authentication (IA) " sheetId="82" r:id="rId10"/>
    <sheet name="Incident Response (IR)" sheetId="85" r:id="rId11"/>
    <sheet name="Maintenance (MA)" sheetId="72" r:id="rId12"/>
    <sheet name="Media Protection (MP)" sheetId="86" r:id="rId13"/>
    <sheet name="Personnel Security (PS)" sheetId="83" r:id="rId14"/>
    <sheet name="Physical Protection (PE)" sheetId="87" r:id="rId15"/>
    <sheet name="Risk Assessment (RA)" sheetId="88" r:id="rId16"/>
    <sheet name="Security Assessment (CA)" sheetId="89" r:id="rId17"/>
    <sheet name="System &amp; Comms Protection (SC)" sheetId="91" r:id="rId18"/>
    <sheet name="System &amp; Info. Integrity (SI)" sheetId="92" r:id="rId19"/>
  </sheets>
  <definedNames>
    <definedName name="_xlnm._FilterDatabase" localSheetId="1" hidden="1">'All Practices'!$A$1:$J$111</definedName>
    <definedName name="_xlnm.Print_Area" localSheetId="5">'Access Control (AC)'!#REF!</definedName>
    <definedName name="_xlnm.Print_Area" localSheetId="6">'Audit &amp; Accountability (AU)'!#REF!</definedName>
    <definedName name="_xlnm.Print_Area" localSheetId="7">'Awareness &amp; Training (AT)'!#REF!</definedName>
    <definedName name="_xlnm.Print_Area" localSheetId="8">'Configuration Management (CM)'!#REF!</definedName>
    <definedName name="_xlnm.Print_Area" localSheetId="9">'ID &amp; Authentication (IA) '!#REF!</definedName>
    <definedName name="_xlnm.Print_Area" localSheetId="10">'Incident Response (IR)'!#REF!</definedName>
    <definedName name="_xlnm.Print_Area" localSheetId="11">'Maintenance (MA)'!#REF!</definedName>
    <definedName name="_xlnm.Print_Area" localSheetId="12">'Media Protection (MP)'!#REF!</definedName>
    <definedName name="_xlnm.Print_Area" localSheetId="0">Notices!#REF!</definedName>
    <definedName name="_xlnm.Print_Area" localSheetId="13">'Personnel Security (PS)'!#REF!</definedName>
    <definedName name="_xlnm.Print_Area" localSheetId="14">'Physical Protection (PE)'!#REF!</definedName>
    <definedName name="_xlnm.Print_Area" localSheetId="4">'Practices Per Level &amp; 20 ID''d'!$A$1:$Q$16</definedName>
    <definedName name="_xlnm.Print_Area" localSheetId="15">'Risk Assessment (RA)'!#REF!</definedName>
    <definedName name="_xlnm.Print_Area" localSheetId="16">'Security Assessment (CA)'!#REF!</definedName>
    <definedName name="_xlnm.Print_Area" localSheetId="17">'System &amp; Comms Protection (SC)'!#REF!</definedName>
    <definedName name="_xlnm.Print_Area" localSheetId="18">'System &amp; Info. Integrity (SI)'!#REF!</definedName>
    <definedName name="_xlnm.Print_Titles" localSheetId="5">'Access Control (AC)'!#REF!</definedName>
    <definedName name="_xlnm.Print_Titles" localSheetId="6">'Audit &amp; Accountability (AU)'!#REF!</definedName>
    <definedName name="_xlnm.Print_Titles" localSheetId="7">'Awareness &amp; Training (AT)'!#REF!</definedName>
    <definedName name="_xlnm.Print_Titles" localSheetId="8">'Configuration Management (CM)'!#REF!</definedName>
    <definedName name="_xlnm.Print_Titles" localSheetId="9">'ID &amp; Authentication (IA) '!#REF!</definedName>
    <definedName name="_xlnm.Print_Titles" localSheetId="10">'Incident Response (IR)'!#REF!</definedName>
    <definedName name="_xlnm.Print_Titles" localSheetId="11">'Maintenance (MA)'!#REF!</definedName>
    <definedName name="_xlnm.Print_Titles" localSheetId="12">'Media Protection (MP)'!#REF!</definedName>
    <definedName name="_xlnm.Print_Titles" localSheetId="0">Notices!$4:$4</definedName>
    <definedName name="_xlnm.Print_Titles" localSheetId="13">'Personnel Security (PS)'!#REF!</definedName>
    <definedName name="_xlnm.Print_Titles" localSheetId="14">'Physical Protection (PE)'!#REF!</definedName>
    <definedName name="_xlnm.Print_Titles" localSheetId="15">'Risk Assessment (RA)'!#REF!</definedName>
    <definedName name="_xlnm.Print_Titles" localSheetId="16">'Security Assessment (CA)'!#REF!</definedName>
    <definedName name="_xlnm.Print_Titles" localSheetId="17">'System &amp; Comms Protection (SC)'!#REF!</definedName>
    <definedName name="_xlnm.Print_Titles" localSheetId="18">'System &amp; Info. Integrity (SI)'!#REF!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100" l="1"/>
  <c r="C15" i="98"/>
  <c r="D15" i="98"/>
  <c r="E15" i="98"/>
  <c r="F15" i="98"/>
  <c r="G15" i="98"/>
  <c r="H15" i="98"/>
  <c r="I15" i="98"/>
  <c r="J15" i="98"/>
  <c r="K15" i="98"/>
  <c r="L15" i="98"/>
  <c r="M15" i="98"/>
  <c r="N15" i="98"/>
  <c r="O15" i="98"/>
  <c r="P15" i="98"/>
  <c r="B15" i="98"/>
  <c r="B104" i="100"/>
  <c r="B103" i="100"/>
  <c r="B102" i="100"/>
  <c r="B101" i="100"/>
  <c r="B100" i="100"/>
  <c r="B99" i="100"/>
  <c r="B98" i="100"/>
  <c r="B97" i="100"/>
  <c r="B96" i="100"/>
  <c r="B95" i="100"/>
  <c r="B94" i="100"/>
  <c r="B93" i="100"/>
  <c r="B91" i="100"/>
  <c r="B83" i="100"/>
  <c r="B76" i="100"/>
  <c r="B75" i="100"/>
  <c r="B74" i="100"/>
  <c r="B73" i="100"/>
  <c r="B68" i="100"/>
  <c r="B67" i="100"/>
  <c r="B62" i="100"/>
  <c r="B61" i="100"/>
  <c r="B59" i="100"/>
  <c r="B58" i="100"/>
  <c r="B57" i="100"/>
  <c r="B56" i="100"/>
  <c r="B48" i="100"/>
  <c r="B47" i="100"/>
  <c r="B46" i="100"/>
  <c r="B39" i="100"/>
  <c r="B35" i="100"/>
  <c r="B34" i="100"/>
  <c r="B33" i="100"/>
  <c r="B32" i="100"/>
  <c r="B31" i="100"/>
  <c r="B30" i="100"/>
  <c r="B26" i="100"/>
  <c r="B23" i="100"/>
  <c r="B22" i="100"/>
  <c r="B21" i="100"/>
  <c r="B20" i="100"/>
  <c r="B19" i="100"/>
  <c r="B18" i="100"/>
  <c r="B15" i="100"/>
  <c r="B13" i="100"/>
  <c r="J111" i="100"/>
  <c r="B111" i="100"/>
  <c r="J110" i="100"/>
  <c r="B110" i="100"/>
  <c r="J109" i="100"/>
  <c r="B109" i="100"/>
  <c r="J108" i="100"/>
  <c r="B108" i="100"/>
  <c r="J107" i="100"/>
  <c r="B107" i="100"/>
  <c r="J106" i="100"/>
  <c r="B106" i="100"/>
  <c r="J105" i="100"/>
  <c r="B105" i="100"/>
  <c r="J104" i="100"/>
  <c r="J103" i="100"/>
  <c r="J102" i="100"/>
  <c r="J101" i="100"/>
  <c r="J100" i="100"/>
  <c r="J99" i="100"/>
  <c r="J98" i="100"/>
  <c r="J97" i="100"/>
  <c r="J96" i="100"/>
  <c r="J95" i="100"/>
  <c r="J94" i="100"/>
  <c r="J93" i="100"/>
  <c r="J91" i="100"/>
  <c r="J92" i="100"/>
  <c r="B92" i="100"/>
  <c r="J90" i="100"/>
  <c r="B90" i="100"/>
  <c r="J89" i="100"/>
  <c r="B89" i="100"/>
  <c r="J88" i="100"/>
  <c r="B88" i="100"/>
  <c r="J87" i="100"/>
  <c r="B87" i="100"/>
  <c r="J86" i="100"/>
  <c r="B86" i="100"/>
  <c r="J77" i="100"/>
  <c r="B77" i="100"/>
  <c r="J85" i="100"/>
  <c r="B85" i="100"/>
  <c r="J84" i="100"/>
  <c r="B84" i="100"/>
  <c r="J83" i="100"/>
  <c r="J82" i="100"/>
  <c r="B82" i="100"/>
  <c r="J81" i="100"/>
  <c r="B81" i="100"/>
  <c r="J80" i="100"/>
  <c r="B80" i="100"/>
  <c r="J79" i="100"/>
  <c r="B79" i="100"/>
  <c r="J78" i="100"/>
  <c r="B78" i="100"/>
  <c r="J76" i="100"/>
  <c r="J75" i="100"/>
  <c r="J74" i="100"/>
  <c r="J73" i="100"/>
  <c r="J72" i="100"/>
  <c r="B72" i="100"/>
  <c r="J71" i="100"/>
  <c r="B71" i="100"/>
  <c r="J70" i="100"/>
  <c r="B70" i="100"/>
  <c r="J69" i="100"/>
  <c r="B69" i="100"/>
  <c r="J68" i="100"/>
  <c r="J67" i="100"/>
  <c r="J66" i="100"/>
  <c r="B66" i="100"/>
  <c r="J65" i="100"/>
  <c r="B65" i="100"/>
  <c r="J64" i="100"/>
  <c r="B64" i="100"/>
  <c r="J63" i="100"/>
  <c r="B63" i="100"/>
  <c r="J62" i="100"/>
  <c r="J61" i="100"/>
  <c r="J60" i="100"/>
  <c r="B60" i="100"/>
  <c r="J59" i="100"/>
  <c r="J58" i="100"/>
  <c r="J57" i="100"/>
  <c r="J56" i="100"/>
  <c r="J55" i="100"/>
  <c r="B55" i="100"/>
  <c r="J54" i="100"/>
  <c r="B54" i="100"/>
  <c r="J53" i="100"/>
  <c r="B53" i="100"/>
  <c r="J52" i="100"/>
  <c r="B52" i="100"/>
  <c r="J51" i="100"/>
  <c r="B51" i="100"/>
  <c r="J50" i="100"/>
  <c r="B50" i="100"/>
  <c r="J49" i="100"/>
  <c r="B49" i="100"/>
  <c r="J47" i="100"/>
  <c r="J46" i="100"/>
  <c r="J45" i="100"/>
  <c r="B45" i="100"/>
  <c r="J44" i="100"/>
  <c r="B44" i="100"/>
  <c r="J43" i="100"/>
  <c r="B43" i="100"/>
  <c r="J42" i="100"/>
  <c r="B42" i="100"/>
  <c r="J41" i="100"/>
  <c r="B41" i="100"/>
  <c r="J40" i="100"/>
  <c r="B40" i="100"/>
  <c r="J39" i="100"/>
  <c r="J38" i="100"/>
  <c r="B38" i="100"/>
  <c r="J37" i="100"/>
  <c r="B37" i="100"/>
  <c r="J36" i="100"/>
  <c r="B36" i="100"/>
  <c r="J35" i="100"/>
  <c r="J34" i="100"/>
  <c r="J33" i="100"/>
  <c r="J32" i="100"/>
  <c r="J31" i="100"/>
  <c r="J30" i="100"/>
  <c r="J29" i="100"/>
  <c r="B29" i="100"/>
  <c r="J28" i="100"/>
  <c r="B28" i="100"/>
  <c r="J27" i="100"/>
  <c r="B27" i="100"/>
  <c r="J26" i="100"/>
  <c r="J25" i="100"/>
  <c r="B25" i="100"/>
  <c r="J24" i="100"/>
  <c r="B24" i="100"/>
  <c r="J23" i="100"/>
  <c r="J22" i="100"/>
  <c r="J21" i="100"/>
  <c r="J20" i="100"/>
  <c r="J19" i="100"/>
  <c r="J18" i="100"/>
  <c r="J15" i="100"/>
  <c r="J13" i="100"/>
  <c r="J17" i="100"/>
  <c r="B17" i="100"/>
  <c r="J16" i="100"/>
  <c r="B16" i="100"/>
  <c r="J14" i="100"/>
  <c r="B14" i="100"/>
  <c r="J12" i="100"/>
  <c r="B12" i="100"/>
  <c r="J11" i="100"/>
  <c r="B11" i="100"/>
  <c r="J10" i="100"/>
  <c r="B10" i="100"/>
  <c r="J9" i="100"/>
  <c r="B9" i="100"/>
  <c r="J8" i="100"/>
  <c r="B8" i="100"/>
  <c r="J7" i="100"/>
  <c r="B7" i="100"/>
  <c r="J6" i="100"/>
  <c r="B6" i="100"/>
  <c r="J5" i="100"/>
  <c r="B5" i="100"/>
  <c r="J4" i="100"/>
  <c r="B4" i="100"/>
  <c r="J3" i="100"/>
  <c r="B3" i="100"/>
  <c r="J2" i="100"/>
  <c r="B2" i="100"/>
  <c r="K2" i="100" l="1"/>
  <c r="L2" i="100"/>
  <c r="M2" i="100"/>
  <c r="N2" i="100" l="1"/>
  <c r="L3" i="100"/>
  <c r="M3" i="100" s="1"/>
  <c r="O9" i="98" l="1"/>
  <c r="O4" i="98" s="1"/>
  <c r="C9" i="98"/>
  <c r="C4" i="98" s="1"/>
  <c r="D9" i="98"/>
  <c r="D4" i="98" s="1"/>
  <c r="E9" i="98"/>
  <c r="E4" i="98" s="1"/>
  <c r="F9" i="98"/>
  <c r="F4" i="98" s="1"/>
  <c r="G9" i="98"/>
  <c r="G4" i="98" s="1"/>
  <c r="H9" i="98"/>
  <c r="H4" i="98" s="1"/>
  <c r="I9" i="98"/>
  <c r="I4" i="98" s="1"/>
  <c r="J9" i="98"/>
  <c r="J4" i="98" s="1"/>
  <c r="K9" i="98"/>
  <c r="K4" i="98" s="1"/>
  <c r="L9" i="98"/>
  <c r="L4" i="98" s="1"/>
  <c r="M9" i="98"/>
  <c r="M4" i="98" s="1"/>
  <c r="N9" i="98"/>
  <c r="N4" i="98" s="1"/>
  <c r="B9" i="98"/>
  <c r="P13" i="98"/>
  <c r="P8" i="98"/>
  <c r="P3" i="98"/>
  <c r="P9" i="98" l="1"/>
  <c r="B4" i="98"/>
  <c r="Q8" i="98"/>
  <c r="Q3" i="98" s="1"/>
  <c r="P4" i="98" l="1"/>
</calcChain>
</file>

<file path=xl/sharedStrings.xml><?xml version="1.0" encoding="utf-8"?>
<sst xmlns="http://schemas.openxmlformats.org/spreadsheetml/2006/main" count="1695" uniqueCount="880">
  <si>
    <t>DOMAIN: ACCESS CONTROL (AC)</t>
  </si>
  <si>
    <t>PRACTICES</t>
  </si>
  <si>
    <t>DOMAIN: AUDIT AND ACCOUNTABILITY (AU)</t>
  </si>
  <si>
    <t>DOMAIN: AWARENESS AND TRAINING (AT)</t>
  </si>
  <si>
    <t>DOMAIN: CONFIGURATION MANAGEMENT (CM)</t>
  </si>
  <si>
    <t>DOMAIN: IDENTIFICATION AND AUTHENTICATION (IA)</t>
  </si>
  <si>
    <t>DOMAIN: INCIDENT RESPONSE (IR)</t>
  </si>
  <si>
    <t>DOMAIN: MAINTENANCE (MA)</t>
  </si>
  <si>
    <t>DOMAIN: MEDIA PROTECTION (MP)</t>
  </si>
  <si>
    <t>DOMAIN: PERSONNEL SECURITY (PS)</t>
  </si>
  <si>
    <t>DOMAIN: PHYSICAL PROTECTION (PE)</t>
  </si>
  <si>
    <t>DOMAIN: SECURITY ASSESSMENT (CA)</t>
  </si>
  <si>
    <t>DOMAIN: SYSTEM AND COMMUNICATIONS PROTECTION (SC)</t>
  </si>
  <si>
    <t>DOMAIN: SYSTEM AND INFORMATION INTEGRITY (SI)</t>
  </si>
  <si>
    <t>Access Control
AC</t>
  </si>
  <si>
    <t>Awareness and Training
AT</t>
  </si>
  <si>
    <t>Configuration Management
CM</t>
  </si>
  <si>
    <t>Audit and Accountability
AU</t>
  </si>
  <si>
    <t>Identification and Authentication
IA</t>
  </si>
  <si>
    <t>Incident Resonse
IR</t>
  </si>
  <si>
    <t>Maintenance
MA</t>
  </si>
  <si>
    <t>Media Protection
MP</t>
  </si>
  <si>
    <t>Personnel Security
PS</t>
  </si>
  <si>
    <t>Physical Protection
PE</t>
  </si>
  <si>
    <t>Security Assessment
CA</t>
  </si>
  <si>
    <t>System and Communications Protection
SC</t>
  </si>
  <si>
    <t>System and Information Integrity
SI</t>
  </si>
  <si>
    <t>CMMC Practice</t>
  </si>
  <si>
    <t>NIST SP 800-171</t>
  </si>
  <si>
    <t>Request Type</t>
  </si>
  <si>
    <t>Material Requested</t>
  </si>
  <si>
    <t>AC.1.001</t>
  </si>
  <si>
    <t>3.1.1</t>
  </si>
  <si>
    <t>Examine/Test/ Interviews</t>
  </si>
  <si>
    <t>Artifacts</t>
  </si>
  <si>
    <t>AC.1.002</t>
  </si>
  <si>
    <t>3.1.2</t>
  </si>
  <si>
    <t>Interviews</t>
  </si>
  <si>
    <t>AC.1.003</t>
  </si>
  <si>
    <t>3.1.20</t>
  </si>
  <si>
    <t>Examine/Test</t>
  </si>
  <si>
    <t>AC.1.004</t>
  </si>
  <si>
    <t>3.1.22</t>
  </si>
  <si>
    <t>AC.2.005</t>
  </si>
  <si>
    <t>3.1.9</t>
  </si>
  <si>
    <t>Interviews/ Artifacts</t>
  </si>
  <si>
    <t>AC.2.006</t>
  </si>
  <si>
    <t>3.1.21</t>
  </si>
  <si>
    <t>Examine/Test/ Artifacts</t>
  </si>
  <si>
    <t>AC.2.007</t>
  </si>
  <si>
    <t>3.1.5</t>
  </si>
  <si>
    <t>Examine/Test/ Interviews/ Artifacts</t>
  </si>
  <si>
    <t>AC.2.008</t>
  </si>
  <si>
    <t>3.1.6</t>
  </si>
  <si>
    <t>AC.2.009</t>
  </si>
  <si>
    <t>3.1.8</t>
  </si>
  <si>
    <t>AC.2.010</t>
  </si>
  <si>
    <t>3.1.10</t>
  </si>
  <si>
    <t>AC.2.011</t>
  </si>
  <si>
    <t>3.1.16</t>
  </si>
  <si>
    <t>AC.2.013</t>
  </si>
  <si>
    <t>3.1.12</t>
  </si>
  <si>
    <t>AC.2.015</t>
  </si>
  <si>
    <t>3.1.14</t>
  </si>
  <si>
    <t>AC.2.016</t>
  </si>
  <si>
    <t>3.1.3</t>
  </si>
  <si>
    <t>Provide brief overview of current status of implementation</t>
  </si>
  <si>
    <t>3.1.17</t>
  </si>
  <si>
    <t>3.1.13</t>
  </si>
  <si>
    <t>3.1.4</t>
  </si>
  <si>
    <t>3.1.7</t>
  </si>
  <si>
    <t>3.1.11</t>
  </si>
  <si>
    <t>3.1.18</t>
  </si>
  <si>
    <t>3.1.15</t>
  </si>
  <si>
    <t>3.1.19</t>
  </si>
  <si>
    <t>N/A</t>
  </si>
  <si>
    <t>AT.2.056</t>
  </si>
  <si>
    <t>3.2.1</t>
  </si>
  <si>
    <t>AT.2.057</t>
  </si>
  <si>
    <t>3.2.2</t>
  </si>
  <si>
    <t>3.2.3</t>
  </si>
  <si>
    <t>AU.2.041</t>
  </si>
  <si>
    <t>3.3.2</t>
  </si>
  <si>
    <t>AU.2.042</t>
  </si>
  <si>
    <t>3.3.1</t>
  </si>
  <si>
    <t>AU.2.043</t>
  </si>
  <si>
    <t>3.3.7</t>
  </si>
  <si>
    <t>3.3.3</t>
  </si>
  <si>
    <t>3.3.4</t>
  </si>
  <si>
    <t>3.3.8</t>
  </si>
  <si>
    <t>3.3.9</t>
  </si>
  <si>
    <t>3.3.5</t>
  </si>
  <si>
    <t>3.3.6</t>
  </si>
  <si>
    <t>CA.2.157</t>
  </si>
  <si>
    <t>3.12.4</t>
  </si>
  <si>
    <t>Walkthrough of SSP Development, documentation, and periodic updating process</t>
  </si>
  <si>
    <t>CA.2.158</t>
  </si>
  <si>
    <t>3.12.1</t>
  </si>
  <si>
    <t>CA.2.159</t>
  </si>
  <si>
    <t>3.12.2</t>
  </si>
  <si>
    <t>3.12.3</t>
  </si>
  <si>
    <t>CM.2.061</t>
  </si>
  <si>
    <t>3.4.1</t>
  </si>
  <si>
    <t>CM.2.062</t>
  </si>
  <si>
    <t>3.4.6</t>
  </si>
  <si>
    <t>CM.2.063</t>
  </si>
  <si>
    <t>3.4.9</t>
  </si>
  <si>
    <t>CM.2.064</t>
  </si>
  <si>
    <t>3.4.2</t>
  </si>
  <si>
    <t>CM.2.065</t>
  </si>
  <si>
    <t>3.4.3</t>
  </si>
  <si>
    <t>CM.2.066</t>
  </si>
  <si>
    <t>3.4.4</t>
  </si>
  <si>
    <t>3.4.5</t>
  </si>
  <si>
    <t>3.4.7</t>
  </si>
  <si>
    <t>3.4.8</t>
  </si>
  <si>
    <t>IA.1.076</t>
  </si>
  <si>
    <t>3.5.1</t>
  </si>
  <si>
    <t>IA.1.077</t>
  </si>
  <si>
    <t>3.5.2</t>
  </si>
  <si>
    <t>IA.2.078</t>
  </si>
  <si>
    <t>3.5.7</t>
  </si>
  <si>
    <t>IA.2.079</t>
  </si>
  <si>
    <t>3.5.8</t>
  </si>
  <si>
    <t>IA.2.080</t>
  </si>
  <si>
    <t>3.5.9</t>
  </si>
  <si>
    <t>IA.2.081</t>
  </si>
  <si>
    <t>3.5.10</t>
  </si>
  <si>
    <t>IA.2.082</t>
  </si>
  <si>
    <t>3.5.11</t>
  </si>
  <si>
    <t>3.5.3</t>
  </si>
  <si>
    <t>Provide brief overview of current status of implementation of MFA. Show current configuration.</t>
  </si>
  <si>
    <t>3.5.4</t>
  </si>
  <si>
    <t>3.5.5</t>
  </si>
  <si>
    <t>3.5.6</t>
  </si>
  <si>
    <t>IR.2.092</t>
  </si>
  <si>
    <t>3.6.1</t>
  </si>
  <si>
    <t>3.6.2</t>
  </si>
  <si>
    <t>3.6.3</t>
  </si>
  <si>
    <t>MA.2.11</t>
  </si>
  <si>
    <t>3.7.1</t>
  </si>
  <si>
    <t>MA.2.112</t>
  </si>
  <si>
    <t>3.7.2</t>
  </si>
  <si>
    <t>MA.2.113</t>
  </si>
  <si>
    <t>3.7.5</t>
  </si>
  <si>
    <t>MA.2.114</t>
  </si>
  <si>
    <t>3.7.6</t>
  </si>
  <si>
    <t>3.7.3</t>
  </si>
  <si>
    <t>3.7.4</t>
  </si>
  <si>
    <t>MP.1.118</t>
  </si>
  <si>
    <t>3.8.3</t>
  </si>
  <si>
    <t>MP.2.119</t>
  </si>
  <si>
    <t>3.8.1</t>
  </si>
  <si>
    <t>MP.2.120</t>
  </si>
  <si>
    <t>3.8.2</t>
  </si>
  <si>
    <t>MP.2.121</t>
  </si>
  <si>
    <t>3.8.7</t>
  </si>
  <si>
    <t>3.8.4</t>
  </si>
  <si>
    <t>3.8.8</t>
  </si>
  <si>
    <t>3.8.5</t>
  </si>
  <si>
    <t>3.8.6</t>
  </si>
  <si>
    <t>PE.1.131</t>
  </si>
  <si>
    <t>3.10.1</t>
  </si>
  <si>
    <t>PE.1.132</t>
  </si>
  <si>
    <t>3.10.3</t>
  </si>
  <si>
    <t>PE.1.133</t>
  </si>
  <si>
    <t>3.10.4</t>
  </si>
  <si>
    <t>PE.1.134</t>
  </si>
  <si>
    <t>3.10.5</t>
  </si>
  <si>
    <t>PE.2.135</t>
  </si>
  <si>
    <t>3.10.2</t>
  </si>
  <si>
    <t>3.10.6</t>
  </si>
  <si>
    <t>PS.2.127</t>
  </si>
  <si>
    <t>3.9.1</t>
  </si>
  <si>
    <t>PS.2.128</t>
  </si>
  <si>
    <t>3.9.2</t>
  </si>
  <si>
    <t>RE.2.138</t>
  </si>
  <si>
    <t>3.8.9</t>
  </si>
  <si>
    <t>RM.2.141</t>
  </si>
  <si>
    <t>3.11.1</t>
  </si>
  <si>
    <t>RM.2.142</t>
  </si>
  <si>
    <t>3.11.2</t>
  </si>
  <si>
    <t>RM.2.143</t>
  </si>
  <si>
    <t>3.11.3</t>
  </si>
  <si>
    <t>SC.1.175</t>
  </si>
  <si>
    <t>3.13.1</t>
  </si>
  <si>
    <t>SC.1.176</t>
  </si>
  <si>
    <t>3.13.5</t>
  </si>
  <si>
    <t>SC.2.178</t>
  </si>
  <si>
    <t>SC.2.179</t>
  </si>
  <si>
    <t>3.13.11</t>
  </si>
  <si>
    <t>Provide brief overview of current status of implementation to employ FIPS-validated cryptography when used to protect the confidentiality of CUI.</t>
  </si>
  <si>
    <t>3.13.2</t>
  </si>
  <si>
    <t>3.13.3</t>
  </si>
  <si>
    <t>3.13.4</t>
  </si>
  <si>
    <t>3.13.6</t>
  </si>
  <si>
    <t>3.13.7</t>
  </si>
  <si>
    <t>3.13.8</t>
  </si>
  <si>
    <t>3.13.9</t>
  </si>
  <si>
    <t>3.13.10</t>
  </si>
  <si>
    <t>3.13.13</t>
  </si>
  <si>
    <t>3.13.14</t>
  </si>
  <si>
    <t>3.13.15</t>
  </si>
  <si>
    <t>3.13.16</t>
  </si>
  <si>
    <t>SI.1.210</t>
  </si>
  <si>
    <t>3.14.1</t>
  </si>
  <si>
    <t>SI.1.211</t>
  </si>
  <si>
    <t>3.14.2</t>
  </si>
  <si>
    <t>SI.1.212</t>
  </si>
  <si>
    <t>3.14.4</t>
  </si>
  <si>
    <t>SI.1.213</t>
  </si>
  <si>
    <t>3.14.5</t>
  </si>
  <si>
    <t>SI.2.214</t>
  </si>
  <si>
    <t>3.14.3</t>
  </si>
  <si>
    <t>SI.2.216</t>
  </si>
  <si>
    <t>3.14.6</t>
  </si>
  <si>
    <t>SI.2.217</t>
  </si>
  <si>
    <t>3.14.7</t>
  </si>
  <si>
    <t>Description</t>
  </si>
  <si>
    <t>L1 Count</t>
  </si>
  <si>
    <t>L2 Count</t>
  </si>
  <si>
    <t>L3 Count</t>
  </si>
  <si>
    <t>Total</t>
  </si>
  <si>
    <t>Total Practices</t>
  </si>
  <si>
    <t>Practices</t>
  </si>
  <si>
    <t>Practices Per Domain</t>
  </si>
  <si>
    <t>Cumulative Practices</t>
  </si>
  <si>
    <t>Screenshare/Walkthrough that shows:  Standard users, service/system accounts, and devices.  (AD, LDAP or other technology used)</t>
  </si>
  <si>
    <t>Screenshare/Walkthrough that shows: security roles/types IAW with functions defined.  Must show privilege vs non-privileged account and roles.</t>
  </si>
  <si>
    <t>Screenshare/Walkthrough of Firewall (or specific tool): to Verify and control/limit connections to and use of external systems</t>
  </si>
  <si>
    <t>Screenshare/Walkthrough of Firewall controlls and CUI Marking process, Information screening process for publicly accessable information systems</t>
  </si>
  <si>
    <t>Screenshare/Walkthrough that shows logon and consent banner, AD and/or other policy that enforces this on non-windows, network devices, and other appliances within the enterprise (If Applicable).</t>
  </si>
  <si>
    <t>Screenshare/Walkthrough that shows process for exception/ waiver to policy for removable media</t>
  </si>
  <si>
    <t>Screenshare/Walkthrough that shows RBAC authorization process</t>
  </si>
  <si>
    <t>Screenshare/Walkthrough that shows priviledge/ non-privleged users with least privilge(in AD and/or other policy that enforces this on non-windows devices).</t>
  </si>
  <si>
    <t>Screenshare/Walkthrough that shows configurations of VPN and AD.</t>
  </si>
  <si>
    <t>Screenshare/Walkthrough that shows configurations/ policy settings within AD and other non-windows platforms for session locking with patteren-hidding displays.</t>
  </si>
  <si>
    <t>Screenshare/Walkthrough that shows configuration to allow wireless access (via wireless controller or other management tool)</t>
  </si>
  <si>
    <t>Screenshare/Walkthrough that shows configuration of  ASA and monitroing tool to ensure the monitoring and control of remote access sessions.</t>
  </si>
  <si>
    <t>Screenshare/Walkthrough that shows configuration of ASA or other device(s) for rotutes.</t>
  </si>
  <si>
    <t>Screenshare/Walkthrough that shows configuration of Wireless mananger for authentication and encryption.</t>
  </si>
  <si>
    <t>Screenshare/Walkthrough that shows configuration of ASA for end-to-end encryption verification.</t>
  </si>
  <si>
    <t>Screenshare/Walkthrough that shows  separation of duties from AD; i.e. privilege account vs non-privilege IAW as defined within the SSP</t>
  </si>
  <si>
    <t>Screenshare/Walkthrough that shows non-privileged user restriction through Centrify ( not able to execute privileged functions) and the audit of such functions. Audit function demonstration by UNIX Team.</t>
  </si>
  <si>
    <t xml:space="preserve">Screenshare/Walkthrough that shows VPN configuration for session lockout of 30 minutes of inactivity. </t>
  </si>
  <si>
    <t>Screenshare/Walkthrough that shows Mobile Device Management (MDM) solution and the ability to control connections of mobile devices.</t>
  </si>
  <si>
    <t>Screenshare/Walkthrough that shows remote access privileges and restrictions for commands and security-relevant information.</t>
  </si>
  <si>
    <t xml:space="preserve">Screenshare/Walkthrough that shows MobileIron MDM configuration settings for device encryption. </t>
  </si>
  <si>
    <t>Screenshare/Walkthrough of LMS or other method of tracking managers, systems administrators, and users of organizational systems trained and are made
aware of the security risks associated with their activities .</t>
  </si>
  <si>
    <t>Screenshare/Walkthrough of LMS or other method of tracking training focused on information security-related duties and responsibilities</t>
  </si>
  <si>
    <t>Screenshare/Walkthrough of SIEM tools for creation and retention of system audit logs and records.</t>
  </si>
  <si>
    <t>Screenshare/Walkthrough of NTP Server /user WS configuration for internal clock synchronization with an authoritative source.</t>
  </si>
  <si>
    <t>Screenshare/Walkthrough of process, to include past  review findings and updates, to review audit logs.</t>
  </si>
  <si>
    <t>Screenshare/Walkthrough of SIEM tool configuration for audit log failure alert</t>
  </si>
  <si>
    <t>Screenshare/Walkthrough of SIEM tool access control configuration</t>
  </si>
  <si>
    <t>Screenshare/Walkthrough of SIEM verifying subset of restricted users.</t>
  </si>
  <si>
    <t>Screenshare/Walkthrough of SIEM for verification of Correlation audit record review, analysis, and reporting</t>
  </si>
  <si>
    <t>Screenshare/Walkthrough of SIEM for verification of audit record reduction</t>
  </si>
  <si>
    <t>Screenshare/Walkthrough of security assessment process, to include external validations</t>
  </si>
  <si>
    <t>Screenshare/Walkthrough of POA&amp;M development and implementation process</t>
  </si>
  <si>
    <t>Screenshare/Walkthrough of vulnerability scanning tools and process</t>
  </si>
  <si>
    <t>Screenshare/Walkthrough of CMDB for baseline configurations and inventories of organizational systems</t>
  </si>
  <si>
    <t>Screenshare/Walkthrough of organizational systems to verify the process to ensure principle of least functionality in  configurations</t>
  </si>
  <si>
    <t>Screenshare/Walkthrough of Software Mall process to ensure the Control and monitor user-installed software</t>
  </si>
  <si>
    <t>Screenshare/Walkthrough of process of conducting  SIEM scans for establishment and enforcement security configuration settings</t>
  </si>
  <si>
    <t>Screenshare/Walkthrough of process of change management and Change Review Board (CRB)</t>
  </si>
  <si>
    <t>Screenshare/Walkthrough of process of analyzing the security impact of changes prior to implementation</t>
  </si>
  <si>
    <t>Screenshare/Walkthrough of process utilizing Source Configuration Management tool, bug tracking and enhancement requests, and other products and tools used to define, document, approve, and enforce physical and logical access restrictions associated with changes to organizational systems.</t>
  </si>
  <si>
    <t>Screenshare/Walkthrough of organizational systems to verify the process to Restrict, disable, or prevent the use of nonessential programs, functions, ports, protocols, and services  in  configurations</t>
  </si>
  <si>
    <t>Screenshare/Walkthrough of organizational systems to verify the process to apply deny-by-exception (blacklisting) policy to prevent the use of unauthorized software or deny-all, permit-by-exception (whitelisting) policy to allow the execution of authorized software.</t>
  </si>
  <si>
    <t>Screenshare/Walkthrough that shows; Process for identifying Standard users, service/system accounts, and devices.  (AD, LDAP or other technology used)</t>
  </si>
  <si>
    <t>Screenshare/Walkthrough that shows;  Process for authenticating (or verifying) the identities of users, processes, or devices, as a prerequisite to
allowing access to organizational systems.</t>
  </si>
  <si>
    <t xml:space="preserve">Screenshare/Walkthrough that shows AD; Process to ensure accounts are disabled after 90 days of inactivity. Walk through standard service desk ticket </t>
  </si>
  <si>
    <t>Screenshare/Walkthrough that shows AD; Process to ensure prohibiting password reuse for a specified number of generations.</t>
  </si>
  <si>
    <t>Screenshare/Walkthrough that shows;  Process for allowing temporary password use for system logons with an immediate change to a permanent password.</t>
  </si>
  <si>
    <t>Screenshare/Walkthrough that shows process for storing and transmitting only cryptographically-protected passwords.</t>
  </si>
  <si>
    <t>Screenshare/Walkthrough that shows process for obscuring feedback of authentication information.</t>
  </si>
  <si>
    <t>Screenshare/Walkthrough that shows process for employing replay-resistant authentication mechanisms for network access to privileged and nonprivileged accounts.</t>
  </si>
  <si>
    <t>Screenshare/Walkthrough that shows process /procedure for preventing the reuse of identifiers for a defined period.</t>
  </si>
  <si>
    <t>Screenshare/Walkthrough that shows process /procedure for disabling identifiers after a defined period of inactivity.</t>
  </si>
  <si>
    <t>Screenshare/Walkthrough that shows process /procedure for establishing an operational incident-handling capability for organizational systems that includes preparation, detection, analysis, containment, recovery, and user response activities. Artifact (screen share or DoDSAFE) Information
Security Incident Response Plan (ISIR), Incident Response Plan, Etc.</t>
  </si>
  <si>
    <t>Screenshare/Walkthrough that shows process /procedure to track, document, and report incidents to designated officials and/or authorities both internal and external to the organization.</t>
  </si>
  <si>
    <t>Screenshare/Walkthrough that shows process /procedure to test the organizational incident response capability                                                                         Artifacts: (screen share or DoDSAFE)Security Incident Response (SIR) exercise, multiple years</t>
  </si>
  <si>
    <t>Screenshare/Walkthrough that shows the process /procedure to perform maintenance on organizational systems.</t>
  </si>
  <si>
    <t>Screenshare/Walkthrough that shows the process /procedure to provide controls on the tools, techniques, mechanisms, and personnel used to conduct system maintenance.</t>
  </si>
  <si>
    <t>Screenshare/Walkthrough that shows the process /procedure to requires multifactor authentication to establish nonlocal maintenance sessions via external network connections and terminate such connections when nonlocal maintenance is complete.</t>
  </si>
  <si>
    <t>Screenshare/Walkthrough that shows the process /procedure to supervise the maintenance activities of maintenance personnel without required access authorization.</t>
  </si>
  <si>
    <t>Screenshare/Walkthrough that shows the process /procedure to ensure equipment removed for off-site maintenance is sanitized of any CUI.</t>
  </si>
  <si>
    <t>Screenshare/Walkthrough that shows the process /procedure to check media containing diagnostic and test programs for malicious code before the media are used in organizational systems.</t>
  </si>
  <si>
    <t>Screenshare/Walkthrough that shows the process /procedure to Sanitize or destroy system media containing CUI before disposal or release for reuse.</t>
  </si>
  <si>
    <t>Screenshare/Walkthrough that shows the process /procedure to protect system media containing CUI, both paper and digital.</t>
  </si>
  <si>
    <t>Screenshare/Walkthrough that shows the process /procedure  to limit access to CUI on system media to authorized users.</t>
  </si>
  <si>
    <t>Screenshare/Walkthrough that shows the process /procedure to control the use of removable media on system components.</t>
  </si>
  <si>
    <t>Screenshare/Walkthrough that shows the process /procedure to mark media with necessary CUI markings and distribution limitations.</t>
  </si>
  <si>
    <t>Screenshare/Walkthrough that shows the process /procedure to prohibit the use of portable storage devices when such devices have no identifiable owner.</t>
  </si>
  <si>
    <t>Screenshare/Walkthrough that shows the process /procedure to control access to media containing CUI and maintain accountability for media during transport outside of controlled areas.</t>
  </si>
  <si>
    <t>Screenshare/Walkthrough that shows the process /procedure to implement cryptographic mechanisms to protect the confidentiality of CUI stored on digital media during transport unless otherwise protected by alternative physical safeguards.</t>
  </si>
  <si>
    <t>Screenshare/Walkthrough that shows the process /procedure to limit physical access to organizational information systems, equipment, and the respective operating environments to authorized individuals.</t>
  </si>
  <si>
    <t>Screenshare/Walkthrough that shows the process /procedure to escort visitors and monitor visitor activity.</t>
  </si>
  <si>
    <t>Screenshare/Walkthrough that shows the process /procedure to maintain audit logs of physical access.</t>
  </si>
  <si>
    <t>Screenshare/Walkthrough that shows the process /procedure to control and manage physical access devices.</t>
  </si>
  <si>
    <t>Screenshare/Walkthrough that shows the process /procedure to protect and monitor the physical facility and support infrastructure for organizational systems.</t>
  </si>
  <si>
    <t>Screenshare/Walkthrough that shows the process /procedure to enforce safeguarding measures for CUI at alternate work sites.</t>
  </si>
  <si>
    <t>Screenshare/Walkthrough that shows the process /procedure to screen individuals prior to authorizing access to organizational systems containing CUI.</t>
  </si>
  <si>
    <t>Screenshare/Walkthrough that shows the process /procedure to ensure that organizational systems containing CUI are protected during and after personnel actions such as terminations and transfers.</t>
  </si>
  <si>
    <t>Screenshare/Walkthrough that shows the process /procedure to protect the confidentiality of backup CUI at storage locations.</t>
  </si>
  <si>
    <t>Screenshare/Walkthrough that shows the process /procedure to periodically assess the risk to organizational operations (including mission, functions, image, or reputation), organizational assets, and individuals, resulting from the operation of organizational systems and the associated processing, storage, or transmission of CUI.</t>
  </si>
  <si>
    <t>Screenshare/Walkthrough that shows the process /procedure to scan for vulnerabilities in organizational systems and applications periodically and when new vulnerabilities affecting those systems and applications are identified.</t>
  </si>
  <si>
    <t>Screenshare/Walkthrough that shows the process /procedure to remediate vulnerabilities in accordance with risk assessments.</t>
  </si>
  <si>
    <t>Screenshare/Walkthrough that shows the process /procedure to monitor, control, and protect organizational communications (i.e., information transmitted or received by organizational information systems) at the external boundaries and key internal boundaries of the information systems.</t>
  </si>
  <si>
    <t>Screenshare/Walkthrough that shows the process /procedure to implement subnetworks for publicly accessible system components that are physically or logically separated from internal networks.</t>
  </si>
  <si>
    <t>Screenshare/Walkthrough that shows the process /procedure to use encrypted sessions for management of network devices</t>
  </si>
  <si>
    <t>Screenshare/Walkthrough that shows the process /procedure to employ architectural designs, software development techniques, and systems engineering principles that promote effective information security within organizational systems.</t>
  </si>
  <si>
    <t>Screenshare/Walkthrough that shows the process /procedure to separate user functionality from system management functionality.</t>
  </si>
  <si>
    <t>Screenshare/Walkthrough that shows the process /procedure to prevent unauthorized and unintended information transfer via shared system resources.</t>
  </si>
  <si>
    <t>Screenshare/Walkthrough that shows the process /procedure to deny network communications traffic by default and allow network communications traffic by exception (i.e., deny all, permit by exception).</t>
  </si>
  <si>
    <t>Screenshare/Walkthrough that shows the process /procedure to prevent remote devices from simultaneously establishing non-remote connections with organizational systems and communicating via some other connection to resources in external networks (i.e. split tunneling).</t>
  </si>
  <si>
    <t>Screenshare/Walkthrough that shows the process /procedure to implement cryptographic mechanisms to prevent unauthorized disclosure of CUI during transmission unless otherwise protected by alternative physical safeguards.</t>
  </si>
  <si>
    <t>Screenshare/Walkthrough that shows the process /procedure to terminate network connections associated with communications sessions at the end of the sessions or after a defined period of inactivity.</t>
  </si>
  <si>
    <t>Screenshare/Walkthrough that shows the process /procedure to establish and manage cryptographic keys for cryptography employed in organizational systems</t>
  </si>
  <si>
    <t>Screenshare/Walkthrough that shows the process /procedure to control and monitor the use of mobile code.</t>
  </si>
  <si>
    <t>Screenshare/Walkthrough that shows the process /procedure to control and monitor the use of Voice over Internet Protocol (VoIP) technologies.</t>
  </si>
  <si>
    <t>Screenshare/Walkthrough that shows the process /procedure to protect the authenticity of communications sessions</t>
  </si>
  <si>
    <t>Screenshare/Walkthrough that shows the process /procedure to protect the confidentiality of CUI at rest.</t>
  </si>
  <si>
    <t>Screenshare/Walkthrough that shows the process /procedure to identify, report, and correct information and information system flaws in a timely manner.</t>
  </si>
  <si>
    <t>Screenshare/Walkthrough that shows the process /procedure to provide protection from malicious code at appropriate locations within organizational information systems.</t>
  </si>
  <si>
    <t>Screenshare/Walkthrough that shows the process /procedure to update malicious code protection mechanisms when new releases are available.</t>
  </si>
  <si>
    <t>Screenshare/Walkthrough that shows the process /procedure to perform periodic scans of the information system and real-time scans of files from external sources as files are downloaded, opened, or executed.</t>
  </si>
  <si>
    <t>Screenshare/Walkthrough that shows the process /procedure to monitor system security alerts and advisories and take actions in response</t>
  </si>
  <si>
    <t>Screenshare/Walkthrough that shows the process /procedure to monitor organizational systems, including inbound and outbound communications traffic, to detect attacks and indicators of potential attacks.</t>
  </si>
  <si>
    <t>Screenshare/Walkthrough that shows the process /procedure to identify unauthorized use of the organizational system.</t>
  </si>
  <si>
    <t>MA.2.111</t>
  </si>
  <si>
    <t>MP.2.138</t>
  </si>
  <si>
    <t>AC.2.012</t>
  </si>
  <si>
    <t>AC.2.014</t>
  </si>
  <si>
    <t>AC.2.017</t>
  </si>
  <si>
    <t>AC.2.018</t>
  </si>
  <si>
    <t>AC.2.019</t>
  </si>
  <si>
    <t>AC.2.020</t>
  </si>
  <si>
    <t>AC.2.021</t>
  </si>
  <si>
    <t>AC.2.022</t>
  </si>
  <si>
    <t>AT.2.058</t>
  </si>
  <si>
    <t>AU.2.045</t>
  </si>
  <si>
    <t>AU.2.046</t>
  </si>
  <si>
    <t>AU.2.049</t>
  </si>
  <si>
    <t>AU.2.050</t>
  </si>
  <si>
    <t>AU.2.051</t>
  </si>
  <si>
    <t>AU.2.052</t>
  </si>
  <si>
    <t>CA.2.161</t>
  </si>
  <si>
    <t>CM.2.067</t>
  </si>
  <si>
    <t>CM.2.068</t>
  </si>
  <si>
    <t>CM.2.069</t>
  </si>
  <si>
    <t>IA.2.083</t>
  </si>
  <si>
    <t>IA.2.084</t>
  </si>
  <si>
    <t>IA.2.085</t>
  </si>
  <si>
    <t>IA.2.086</t>
  </si>
  <si>
    <t>IR.2.098</t>
  </si>
  <si>
    <t>IR.2.099</t>
  </si>
  <si>
    <t>MA.2.115</t>
  </si>
  <si>
    <t>MA.2.116</t>
  </si>
  <si>
    <t>MP.2.122</t>
  </si>
  <si>
    <t>MP.2.123</t>
  </si>
  <si>
    <t>MP.2.124</t>
  </si>
  <si>
    <t>MP.2.125</t>
  </si>
  <si>
    <t>PE.2.136</t>
  </si>
  <si>
    <t>SC.2.177</t>
  </si>
  <si>
    <t>SC.2.180</t>
  </si>
  <si>
    <t>SC.2.181</t>
  </si>
  <si>
    <t>SC.2.182</t>
  </si>
  <si>
    <t>SC.2.183</t>
  </si>
  <si>
    <t>SC.2.184</t>
  </si>
  <si>
    <t>SC.2.185</t>
  </si>
  <si>
    <t>SC.2.186</t>
  </si>
  <si>
    <t>SC.2.187</t>
  </si>
  <si>
    <t>SC.2.188</t>
  </si>
  <si>
    <t>SC.2.189</t>
  </si>
  <si>
    <t>SC.2.190</t>
  </si>
  <si>
    <t>SC.2.191</t>
  </si>
  <si>
    <t>Level 3
Expert
TBD Practices</t>
  </si>
  <si>
    <t>Level 1
Foundational
17 Practices</t>
  </si>
  <si>
    <t>Level 2
Advanced
93 Practices</t>
  </si>
  <si>
    <t>This version of the CMMC Model 1.02 has been modified by Cyber Security Training and Consulting LLC  to accommodate for proposed CMMC 2.0 changes.  Contact Info@CyberSecurityTrainingCo.com if you have any questions.</t>
  </si>
  <si>
    <t>Access Control
AC (3.1)</t>
  </si>
  <si>
    <t>Awareness and Training
AT (3.2)</t>
  </si>
  <si>
    <t>Audit and Accountability
AU (3.3)</t>
  </si>
  <si>
    <t>Configuration Management
CM (3.4)</t>
  </si>
  <si>
    <t>Identification and Authentication
IA (3.5)</t>
  </si>
  <si>
    <t>Incident Resonse
IR (3.6)</t>
  </si>
  <si>
    <t>Maintenance
MA (3.7)</t>
  </si>
  <si>
    <t>Media Protection
MP (3.8)</t>
  </si>
  <si>
    <t>Personnel Security
PS (3.9)</t>
  </si>
  <si>
    <t>Physical Protection
PE/PP (3.10)</t>
  </si>
  <si>
    <t>Security Assessment
CA (3.12)</t>
  </si>
  <si>
    <t>System and Communications Protection
SC (3.13)</t>
  </si>
  <si>
    <t>System and Information Integrity
SI (3.14)</t>
  </si>
  <si>
    <t>AC-1</t>
  </si>
  <si>
    <t>Access Control Policy and Procedures</t>
  </si>
  <si>
    <t>AT-1</t>
  </si>
  <si>
    <t>Security Awareness and Training Policy and Procedures</t>
  </si>
  <si>
    <t>AU-1</t>
  </si>
  <si>
    <t>Audit and Accountability Policy and Procedures</t>
  </si>
  <si>
    <t>CA-1</t>
  </si>
  <si>
    <t>Security Assessment and Authorization Policies and Procedures</t>
  </si>
  <si>
    <t>CM-1</t>
  </si>
  <si>
    <t>Configuration Management Policy and Procedures</t>
  </si>
  <si>
    <t>IA-1</t>
  </si>
  <si>
    <t>Identification and Authentication Policy and Procedures</t>
  </si>
  <si>
    <t>IR-1</t>
  </si>
  <si>
    <t>Incident Response Policy and Procedures</t>
  </si>
  <si>
    <t>MA-1</t>
  </si>
  <si>
    <t>System Maintenance Policy and Procedures</t>
  </si>
  <si>
    <t>MP-1</t>
  </si>
  <si>
    <t>Media Protection Policy and Procedures</t>
  </si>
  <si>
    <t>PE-1</t>
  </si>
  <si>
    <t>Physical and Environmental Protection Policy and Procedures</t>
  </si>
  <si>
    <t>PL-1</t>
  </si>
  <si>
    <t>Security Planning Policy and Procedures (SSP)</t>
  </si>
  <si>
    <t>PS-1</t>
  </si>
  <si>
    <t>Personnel Security Policy and Procedures</t>
  </si>
  <si>
    <t>RA-1</t>
  </si>
  <si>
    <t>Risk Assessment (Management) Policy and Procedures</t>
  </si>
  <si>
    <t>SC-1</t>
  </si>
  <si>
    <t>System and Communications Protection Policy and Procedures</t>
  </si>
  <si>
    <t>SI-1</t>
  </si>
  <si>
    <t>System and Information Integrity Policy and Procedures</t>
  </si>
  <si>
    <t>AT-4</t>
  </si>
  <si>
    <t>Security Training Records</t>
  </si>
  <si>
    <t>CA-2(1)</t>
  </si>
  <si>
    <t>SECURITY ASSESSMENTS | INDEPENDENT ASSESSORS</t>
  </si>
  <si>
    <t>CA-3</t>
  </si>
  <si>
    <t>System Interconnections</t>
  </si>
  <si>
    <t>CA-3(5)</t>
  </si>
  <si>
    <t>SYSTEM INTERCONNECTIONS | RESTRICTIONS ON EXTERNAL SYSTEM CONNECTIONS</t>
  </si>
  <si>
    <t>CA-7(1)</t>
  </si>
  <si>
    <t>CONTINUOUS MONITORING | INDEPENDENT ASSESSMENT</t>
  </si>
  <si>
    <t>CA-9</t>
  </si>
  <si>
    <t>Internal System Connections</t>
  </si>
  <si>
    <t>CM-2(1)</t>
  </si>
  <si>
    <t>BASELINE CONFIGURATION | REVIEWS AND UPDATES</t>
  </si>
  <si>
    <t>CM-2(7)</t>
  </si>
  <si>
    <t>BASELINE CONFIGURATION | CONFIGURE SYSTEMS, COMPONENTS, OR DEVICES FOR HIGH-RISK AREAS</t>
  </si>
  <si>
    <t>CM-3(2)</t>
  </si>
  <si>
    <t>CONFIGURATION CHANGE CONTROL | TEST / VALIDATE / DOCUMENT CHANGES</t>
  </si>
  <si>
    <t>CM-8(5)</t>
  </si>
  <si>
    <t>SYSTEM COMPONENT INVENTORY | NO DUPLICATE ACCOUNTING OF COMPONENTS</t>
  </si>
  <si>
    <t>CM-9</t>
  </si>
  <si>
    <t>Configuration Management Plan</t>
  </si>
  <si>
    <t>IR-8</t>
  </si>
  <si>
    <t>Incident Response Plan</t>
  </si>
  <si>
    <t>MA-4(2)</t>
  </si>
  <si>
    <t>NONLOCAL MAINTENANCE | DOCUMENT NONLOCAL MAINTENANCE</t>
  </si>
  <si>
    <t>PE-6(1)</t>
  </si>
  <si>
    <t>MONITORING PHYSICAL ACCESS | INTRUSION ALARMS / SURVEILLANCE EQUIPMENT</t>
  </si>
  <si>
    <t>PE-8</t>
  </si>
  <si>
    <t>Visitor Access Records</t>
  </si>
  <si>
    <t>PS-6</t>
  </si>
  <si>
    <t>Access Agreements</t>
  </si>
  <si>
    <t>PS-7</t>
  </si>
  <si>
    <t>Third-Party Personnel Security</t>
  </si>
  <si>
    <t>PS-8</t>
  </si>
  <si>
    <t>Personnel Sanctions</t>
  </si>
  <si>
    <t>RA-5(1)</t>
  </si>
  <si>
    <t>VULNERABILITY SCANNING | UPDATE TOOL CAPABILITY</t>
  </si>
  <si>
    <t>RA-5(2)</t>
  </si>
  <si>
    <t>VULNERABILITY SCANNING | UPDATE BY FREQUENCY / PRIOR TO NEW SCAN / WHEN IDENTIFIED</t>
  </si>
  <si>
    <t>SC-7(3)</t>
  </si>
  <si>
    <t>BOUNDARY PROTECTION | ACCESS POINTS</t>
  </si>
  <si>
    <t>SC-7(4)</t>
  </si>
  <si>
    <t>BOUNDARY PROTECTION | EXTERNAL TELECOMMUNICATIONS SERVICES</t>
  </si>
  <si>
    <t>SC-20</t>
  </si>
  <si>
    <t>Secure Name /Address Resolution Service (Authoritative Source)</t>
  </si>
  <si>
    <t>SC-21</t>
  </si>
  <si>
    <t>Secure Name /Address Resolution Service (Recursive or Caching Resolver)</t>
  </si>
  <si>
    <t>SC-22</t>
  </si>
  <si>
    <t>Architecture and Provisioning for Name/Address Resolution Service</t>
  </si>
  <si>
    <t>SC-39</t>
  </si>
  <si>
    <t>Process Isolation</t>
  </si>
  <si>
    <t>SI-4(5)</t>
  </si>
  <si>
    <t>SYSTEM MONITORING | SYSTEM-GENERATED ALERTS</t>
  </si>
  <si>
    <t>SI-16</t>
  </si>
  <si>
    <t>Memory Protection</t>
  </si>
  <si>
    <t>NFO</t>
  </si>
  <si>
    <t>AC-2(1)</t>
  </si>
  <si>
    <t>ACCOUNT MANAGEMENT | AUTOMATED SYSTEM ACCOUNT MANAGEMENT</t>
  </si>
  <si>
    <t>NCO</t>
  </si>
  <si>
    <t>AC-2(2)</t>
  </si>
  <si>
    <t>ACCOUNT MANAGEMENT | REMOVAL OF TEMPORARY / EMERGENCY ACCOUNTS</t>
  </si>
  <si>
    <t>AC-2(3)</t>
  </si>
  <si>
    <t>ACCOUNT MANAGEMENT | DISABLE INACTIVE ACCOUNTS</t>
  </si>
  <si>
    <t>AC-2(4)</t>
  </si>
  <si>
    <t>ACCOUNT MANAGEMENT | AUTOMATED AUDIT ACTIONS</t>
  </si>
  <si>
    <t>AU-4</t>
  </si>
  <si>
    <t>Audit Storage Capacity</t>
  </si>
  <si>
    <t>AU-6(1)</t>
  </si>
  <si>
    <t>AUDIT REVIEW, ANALYSIS, AND REPORTING | PROCESS INTEGRATION</t>
  </si>
  <si>
    <t>AU-7(1)</t>
  </si>
  <si>
    <t>AUDIT REDUCTION AND REPORT GENERATION | AUTOMATIC PROCESSING</t>
  </si>
  <si>
    <t>AU-11</t>
  </si>
  <si>
    <t>Audit Record Retention</t>
  </si>
  <si>
    <t>CM-2(3)</t>
  </si>
  <si>
    <t>BASELINE CONFIGURATION | RETENTION OF PREVIOUS CONFIGURATIONS</t>
  </si>
  <si>
    <t>CM-8(3)</t>
  </si>
  <si>
    <t>SYSTEM COMPONENT INVENTORY | AUTOMATED UNAUTHORIZED COMPONENT DETECTION</t>
  </si>
  <si>
    <t>CM-10</t>
  </si>
  <si>
    <t>Software Usage Restrictions</t>
  </si>
  <si>
    <t>IR-3(2)</t>
  </si>
  <si>
    <t>INCIDENT RESPONSE TESTING | COORDINATION WITH RELATED PLANS</t>
  </si>
  <si>
    <t>IR-4(1)</t>
  </si>
  <si>
    <t>INCIDENT HANDLING | AUTOMATED INCIDENT HANDLING PROCESSES</t>
  </si>
  <si>
    <t>IR-6(1)</t>
  </si>
  <si>
    <t>INCIDENT REPORTING | AUTOMATED REPORTING</t>
  </si>
  <si>
    <t>IR-7(1)</t>
  </si>
  <si>
    <t>INCIDENT RESPONSE ASSISTANCE | AUTOMATION SUPPORT FOR AVAILABILITY OF INFORMATION / SUPPORT</t>
  </si>
  <si>
    <t>MA-6</t>
  </si>
  <si>
    <t>Timely Maintenance</t>
  </si>
  <si>
    <t>PE-9</t>
  </si>
  <si>
    <t>Power Equipment and Cabling</t>
  </si>
  <si>
    <t>PE-10</t>
  </si>
  <si>
    <t>Emergency Shutoff</t>
  </si>
  <si>
    <t>PE-11</t>
  </si>
  <si>
    <t>Emergency Power</t>
  </si>
  <si>
    <t>PE-12</t>
  </si>
  <si>
    <t>Emergency Lighting</t>
  </si>
  <si>
    <t>PE-13</t>
  </si>
  <si>
    <t>Fire Protection</t>
  </si>
  <si>
    <t>PE-13(3)</t>
  </si>
  <si>
    <t>FIRE PROTECTION | AUTOMATIC FIRE SUPPRESSION</t>
  </si>
  <si>
    <t>PE-14</t>
  </si>
  <si>
    <t>Temperature and Humidity Controls</t>
  </si>
  <si>
    <t>PE-15</t>
  </si>
  <si>
    <t>Water Damage Protection</t>
  </si>
  <si>
    <t>PE-16</t>
  </si>
  <si>
    <t>Delivery and Removal</t>
  </si>
  <si>
    <t>SC-5</t>
  </si>
  <si>
    <t>Denial of Service Protection</t>
  </si>
  <si>
    <t>SI-2(2)</t>
  </si>
  <si>
    <t>FLAW REMEDIATION | AUTOMATED FLAW REMEDIATION STATUS</t>
  </si>
  <si>
    <t>SI-3(1)</t>
  </si>
  <si>
    <t>MALICIOUS CODE PROTECTION | CENTRAL MANAGEMENT</t>
  </si>
  <si>
    <t>SI-3(2)</t>
  </si>
  <si>
    <t>MALICIOUS CODE PROTECTION | AUTOMATIC UPDATES</t>
  </si>
  <si>
    <t>SI-4(2)</t>
  </si>
  <si>
    <t>SYSTEM MONITORING | AUTOMATED TOOLS FOR REAL-TIME ANALYSIS</t>
  </si>
  <si>
    <t>SI-7</t>
  </si>
  <si>
    <t>Software, Firmware, and Information Integrity</t>
  </si>
  <si>
    <t>SI-7(1)</t>
  </si>
  <si>
    <t>SOFTWARE, FIRMWARE, AND INFORMATION INTEGRITY | INTEGRITY CHECKS</t>
  </si>
  <si>
    <t>SI-7(7)</t>
  </si>
  <si>
    <t>SOFTWARE, FIRMWARE, AND INFORMATION INTEGRITY | INTEGRATION OF DETECTION AND RESPONSE</t>
  </si>
  <si>
    <t>SI-8</t>
  </si>
  <si>
    <t>Spam Protection</t>
  </si>
  <si>
    <t>SI-8(1)</t>
  </si>
  <si>
    <t>SPAM PROTECTION | CENTRAL MANAGEMENT</t>
  </si>
  <si>
    <t>SI-8(2)</t>
  </si>
  <si>
    <t>SPAM PROTECTION | AUTOMATIC UPDATES</t>
  </si>
  <si>
    <t>SI-10</t>
  </si>
  <si>
    <t>Information Input Validation</t>
  </si>
  <si>
    <t>SI-11</t>
  </si>
  <si>
    <t>Error Handling</t>
  </si>
  <si>
    <r>
      <rPr>
        <b/>
        <sz val="12"/>
        <color theme="1"/>
        <rFont val="Calibri"/>
        <family val="2"/>
        <scheme val="minor"/>
      </rPr>
      <t>NFO:</t>
    </r>
    <r>
      <rPr>
        <sz val="12"/>
        <color theme="1"/>
        <rFont val="Calibri"/>
        <family val="2"/>
        <scheme val="minor"/>
      </rPr>
      <t xml:space="preserve"> EXPECTED TO BE ROUTINELY SATISFIED BY NONFEDERAL ORGANIZATIONS WITHOUT SPECIFICATION. 
</t>
    </r>
    <r>
      <rPr>
        <b/>
        <sz val="12"/>
        <color theme="1"/>
        <rFont val="Calibri"/>
        <family val="2"/>
        <scheme val="minor"/>
      </rPr>
      <t>NCO:</t>
    </r>
    <r>
      <rPr>
        <sz val="12"/>
        <color theme="1"/>
        <rFont val="Calibri"/>
        <family val="2"/>
        <scheme val="minor"/>
      </rPr>
      <t xml:space="preserve"> NOT DIRECTLY RELATED TO PROTECTING THE CONFIDENTIALITY OF CUI.
Derived security requirements which supplement the basic security requirements. The security controls tailored out of the moderate baseline (i.e., controls specifically marked as either NCO or NFO </t>
    </r>
    <r>
      <rPr>
        <b/>
        <u/>
        <sz val="12"/>
        <color theme="1"/>
        <rFont val="Calibri"/>
        <family val="2"/>
        <scheme val="minor"/>
      </rPr>
      <t>are often included</t>
    </r>
    <r>
      <rPr>
        <sz val="12"/>
        <color theme="1"/>
        <rFont val="Calibri"/>
        <family val="2"/>
        <scheme val="minor"/>
      </rPr>
      <t xml:space="preserve"> as part of an organization’s comprehensive security program.</t>
    </r>
  </si>
  <si>
    <t>Basic</t>
  </si>
  <si>
    <t>Derived</t>
  </si>
  <si>
    <t>NIST ID</t>
  </si>
  <si>
    <t>NIST Score</t>
  </si>
  <si>
    <t>NIST Score Category</t>
  </si>
  <si>
    <t>Level 1</t>
  </si>
  <si>
    <t>Level 2</t>
  </si>
  <si>
    <t>Level 3</t>
  </si>
  <si>
    <r>
      <rPr>
        <sz val="12"/>
        <color rgb="FFFF0000"/>
        <rFont val="Calibri"/>
        <family val="2"/>
      </rPr>
      <t>AC.1.001</t>
    </r>
    <r>
      <rPr>
        <sz val="12"/>
        <rFont val="Calibri"/>
        <family val="2"/>
      </rPr>
      <t xml:space="preserve">
</t>
    </r>
    <r>
      <rPr>
        <b/>
        <sz val="12"/>
        <rFont val="Calibri"/>
        <family val="2"/>
      </rPr>
      <t>AC.L1-3.1.1</t>
    </r>
    <r>
      <rPr>
        <sz val="12"/>
        <rFont val="Calibri"/>
        <family val="2"/>
      </rPr>
      <t xml:space="preserve">
</t>
    </r>
    <r>
      <rPr>
        <i/>
        <sz val="12"/>
        <rFont val="Calibri"/>
        <family val="2"/>
      </rPr>
      <t>Authorized Access Control</t>
    </r>
    <r>
      <rPr>
        <sz val="12"/>
        <rFont val="Calibri"/>
        <family val="2"/>
      </rPr>
      <t xml:space="preserve">
Limit information system access to authorized users, processes acting on behalf of authorized users, or devices (including other information systems).
• FAR Clause 52.204-21 b.1.i
• NIST SP 800-171 Rev 2 3.1.1</t>
    </r>
  </si>
  <si>
    <r>
      <rPr>
        <sz val="12"/>
        <color rgb="FFFF0000"/>
        <rFont val="Calibri"/>
        <family val="2"/>
      </rPr>
      <t>AC.2.016</t>
    </r>
    <r>
      <rPr>
        <sz val="12"/>
        <rFont val="Calibri"/>
        <family val="2"/>
      </rPr>
      <t xml:space="preserve">
</t>
    </r>
    <r>
      <rPr>
        <b/>
        <sz val="12"/>
        <rFont val="Calibri"/>
        <family val="2"/>
      </rPr>
      <t>AC.L2-3.1.3</t>
    </r>
    <r>
      <rPr>
        <sz val="12"/>
        <rFont val="Calibri"/>
        <family val="2"/>
      </rPr>
      <t xml:space="preserve">
</t>
    </r>
    <r>
      <rPr>
        <i/>
        <sz val="12"/>
        <rFont val="Calibri"/>
        <family val="2"/>
      </rPr>
      <t>Control CUI Flow</t>
    </r>
    <r>
      <rPr>
        <sz val="12"/>
        <rFont val="Calibri"/>
        <family val="2"/>
      </rPr>
      <t xml:space="preserve">
Control the flow of CUI in accordance with approved authorizations. 
• NIST SP 800-171 Rev 2 3.1.3</t>
    </r>
  </si>
  <si>
    <r>
      <rPr>
        <sz val="12"/>
        <color rgb="FFFF0000"/>
        <rFont val="Calibri"/>
        <family val="2"/>
      </rPr>
      <t>AC.1.002</t>
    </r>
    <r>
      <rPr>
        <sz val="12"/>
        <rFont val="Calibri"/>
        <family val="2"/>
      </rPr>
      <t xml:space="preserve">
</t>
    </r>
    <r>
      <rPr>
        <b/>
        <sz val="12"/>
        <rFont val="Calibri"/>
        <family val="2"/>
      </rPr>
      <t>AC.L1-3.1.2</t>
    </r>
    <r>
      <rPr>
        <sz val="12"/>
        <rFont val="Calibri"/>
        <family val="2"/>
      </rPr>
      <t xml:space="preserve">
</t>
    </r>
    <r>
      <rPr>
        <i/>
        <sz val="12"/>
        <rFont val="Calibri"/>
        <family val="2"/>
      </rPr>
      <t>Transaction &amp; Function Control</t>
    </r>
    <r>
      <rPr>
        <sz val="12"/>
        <rFont val="Calibri"/>
        <family val="2"/>
      </rPr>
      <t xml:space="preserve">
Limit information system access to the types of transactions and functions that authorized users are permitted to execute. 
• FAR Clause 52.204-21 b.1.ii
• NIST SP 800-171 Rev 2 3.1.2</t>
    </r>
  </si>
  <si>
    <r>
      <rPr>
        <sz val="12"/>
        <color rgb="FFFF0000"/>
        <rFont val="Calibri"/>
        <family val="2"/>
      </rPr>
      <t>AC.3.017</t>
    </r>
    <r>
      <rPr>
        <sz val="12"/>
        <rFont val="Calibri"/>
        <family val="2"/>
      </rPr>
      <t xml:space="preserve">
</t>
    </r>
    <r>
      <rPr>
        <b/>
        <sz val="12"/>
        <rFont val="Calibri"/>
        <family val="2"/>
      </rPr>
      <t>AC.L2-3.1.4</t>
    </r>
    <r>
      <rPr>
        <sz val="12"/>
        <rFont val="Calibri"/>
        <family val="2"/>
      </rPr>
      <t xml:space="preserve">
</t>
    </r>
    <r>
      <rPr>
        <i/>
        <sz val="12"/>
        <rFont val="Calibri"/>
        <family val="2"/>
      </rPr>
      <t>Separation of Duties</t>
    </r>
    <r>
      <rPr>
        <sz val="12"/>
        <rFont val="Calibri"/>
        <family val="2"/>
      </rPr>
      <t xml:space="preserve">
Separate the duties of individuals to reduce the risk of malevolent activity without collusion.
• NIST SP 800-171 Rev 2 3.1.4
</t>
    </r>
  </si>
  <si>
    <r>
      <rPr>
        <sz val="12"/>
        <color rgb="FFFF0000"/>
        <rFont val="Calibri"/>
        <family val="2"/>
      </rPr>
      <t>AC.1.003</t>
    </r>
    <r>
      <rPr>
        <sz val="12"/>
        <rFont val="Calibri"/>
        <family val="2"/>
      </rPr>
      <t xml:space="preserve">
</t>
    </r>
    <r>
      <rPr>
        <b/>
        <sz val="12"/>
        <rFont val="Calibri"/>
        <family val="2"/>
      </rPr>
      <t>AC.L1-3.1.20</t>
    </r>
    <r>
      <rPr>
        <sz val="12"/>
        <rFont val="Calibri"/>
        <family val="2"/>
      </rPr>
      <t xml:space="preserve">
</t>
    </r>
    <r>
      <rPr>
        <i/>
        <sz val="12"/>
        <rFont val="Calibri"/>
        <family val="2"/>
      </rPr>
      <t>External Connections</t>
    </r>
    <r>
      <rPr>
        <sz val="12"/>
        <rFont val="Calibri"/>
        <family val="2"/>
      </rPr>
      <t xml:space="preserve">
Verify and control/limit connections to and use of external information systems. 
• FAR Clause 52.204-21 b.1.iii
• NIST SP 800-171 Rev 2 3.1.20</t>
    </r>
  </si>
  <si>
    <r>
      <rPr>
        <sz val="12"/>
        <color rgb="FFFF0000"/>
        <rFont val="Calibri"/>
        <family val="2"/>
      </rPr>
      <t>AC.2.007</t>
    </r>
    <r>
      <rPr>
        <sz val="12"/>
        <rFont val="Calibri"/>
        <family val="2"/>
      </rPr>
      <t xml:space="preserve">
</t>
    </r>
    <r>
      <rPr>
        <b/>
        <sz val="12"/>
        <rFont val="Calibri"/>
        <family val="2"/>
      </rPr>
      <t>AC.L2-3.1.5</t>
    </r>
    <r>
      <rPr>
        <sz val="12"/>
        <rFont val="Calibri"/>
        <family val="2"/>
      </rPr>
      <t xml:space="preserve">
</t>
    </r>
    <r>
      <rPr>
        <i/>
        <sz val="12"/>
        <rFont val="Calibri"/>
        <family val="2"/>
      </rPr>
      <t>Least Privilege</t>
    </r>
    <r>
      <rPr>
        <sz val="12"/>
        <rFont val="Calibri"/>
        <family val="2"/>
      </rPr>
      <t xml:space="preserve">
Employ the principle of least privilege, including for specific security functions and privileged accounts.
• NIST SP 800-171 Rev 2 3.1.5</t>
    </r>
  </si>
  <si>
    <r>
      <rPr>
        <sz val="12"/>
        <color rgb="FFFF0000"/>
        <rFont val="Calibri"/>
        <family val="2"/>
      </rPr>
      <t>AC.1.004</t>
    </r>
    <r>
      <rPr>
        <sz val="12"/>
        <rFont val="Calibri"/>
        <family val="2"/>
      </rPr>
      <t xml:space="preserve">
</t>
    </r>
    <r>
      <rPr>
        <b/>
        <sz val="12"/>
        <rFont val="Calibri"/>
        <family val="2"/>
      </rPr>
      <t>AC.L1-3.1.22</t>
    </r>
    <r>
      <rPr>
        <sz val="12"/>
        <rFont val="Calibri"/>
        <family val="2"/>
      </rPr>
      <t xml:space="preserve">
</t>
    </r>
    <r>
      <rPr>
        <i/>
        <sz val="12"/>
        <rFont val="Calibri"/>
        <family val="2"/>
      </rPr>
      <t>Control Public Information</t>
    </r>
    <r>
      <rPr>
        <sz val="12"/>
        <rFont val="Calibri"/>
        <family val="2"/>
      </rPr>
      <t xml:space="preserve">
Control information posted or processed on publicly accessible information systems.
• FAR Clause 52.204-21 b.1.iv
• NIST SP 800-171 Rev 2 3.1.22</t>
    </r>
  </si>
  <si>
    <r>
      <rPr>
        <sz val="12"/>
        <color rgb="FFFF0000"/>
        <rFont val="Calibri"/>
        <family val="2"/>
      </rPr>
      <t>AC.2.008</t>
    </r>
    <r>
      <rPr>
        <sz val="12"/>
        <rFont val="Calibri"/>
        <family val="2"/>
      </rPr>
      <t xml:space="preserve">
</t>
    </r>
    <r>
      <rPr>
        <b/>
        <sz val="12"/>
        <rFont val="Calibri"/>
        <family val="2"/>
      </rPr>
      <t>AC.L2-3.1.6</t>
    </r>
    <r>
      <rPr>
        <sz val="12"/>
        <rFont val="Calibri"/>
        <family val="2"/>
      </rPr>
      <t xml:space="preserve">
</t>
    </r>
    <r>
      <rPr>
        <i/>
        <sz val="12"/>
        <rFont val="Calibri"/>
        <family val="2"/>
      </rPr>
      <t>Non-Privileged Account Use</t>
    </r>
    <r>
      <rPr>
        <sz val="12"/>
        <rFont val="Calibri"/>
        <family val="2"/>
      </rPr>
      <t xml:space="preserve">
Use non-privileged accounts or roles when accessing nonsecurity functions.
• NIST SP 800-171 Rev 2 3.1.6</t>
    </r>
  </si>
  <si>
    <r>
      <rPr>
        <sz val="12"/>
        <color rgb="FFFF0000"/>
        <rFont val="Calibri"/>
        <family val="2"/>
      </rPr>
      <t>AC.3.018</t>
    </r>
    <r>
      <rPr>
        <sz val="12"/>
        <rFont val="Calibri"/>
        <family val="2"/>
      </rPr>
      <t xml:space="preserve">
</t>
    </r>
    <r>
      <rPr>
        <b/>
        <sz val="12"/>
        <rFont val="Calibri"/>
        <family val="2"/>
      </rPr>
      <t>AC.L2-3.1.7</t>
    </r>
    <r>
      <rPr>
        <sz val="12"/>
        <rFont val="Calibri"/>
        <family val="2"/>
      </rPr>
      <t xml:space="preserve">
</t>
    </r>
    <r>
      <rPr>
        <i/>
        <sz val="12"/>
        <rFont val="Calibri"/>
        <family val="2"/>
      </rPr>
      <t>Privileged Functions</t>
    </r>
    <r>
      <rPr>
        <sz val="12"/>
        <rFont val="Calibri"/>
        <family val="2"/>
      </rPr>
      <t xml:space="preserve">
Prevent non-privileged users from executing privileged functions and capture the execution of such functions in audit logs.
• NIST SP 800-171 Rev 2 3.1.7</t>
    </r>
  </si>
  <si>
    <r>
      <rPr>
        <sz val="12"/>
        <color rgb="FFFF0000"/>
        <rFont val="Calibri"/>
        <family val="2"/>
      </rPr>
      <t>AC.2.009</t>
    </r>
    <r>
      <rPr>
        <sz val="12"/>
        <rFont val="Calibri"/>
        <family val="2"/>
      </rPr>
      <t xml:space="preserve">
</t>
    </r>
    <r>
      <rPr>
        <b/>
        <sz val="12"/>
        <rFont val="Calibri"/>
        <family val="2"/>
      </rPr>
      <t>AC.L2-3.1.8</t>
    </r>
    <r>
      <rPr>
        <sz val="12"/>
        <rFont val="Calibri"/>
        <family val="2"/>
      </rPr>
      <t xml:space="preserve">
</t>
    </r>
    <r>
      <rPr>
        <i/>
        <sz val="12"/>
        <rFont val="Calibri"/>
        <family val="2"/>
      </rPr>
      <t>Unsuccessful Logon Attempts</t>
    </r>
    <r>
      <rPr>
        <sz val="12"/>
        <rFont val="Calibri"/>
        <family val="2"/>
      </rPr>
      <t xml:space="preserve">
Limit unsuccessful logon attempts. 
• NIST SP 800-171 Rev 2 3.1.8 </t>
    </r>
  </si>
  <si>
    <r>
      <rPr>
        <sz val="12"/>
        <color rgb="FFFF0000"/>
        <rFont val="Calibri"/>
        <family val="2"/>
      </rPr>
      <t>AC.2.005</t>
    </r>
    <r>
      <rPr>
        <sz val="12"/>
        <rFont val="Calibri"/>
        <family val="2"/>
      </rPr>
      <t xml:space="preserve">
</t>
    </r>
    <r>
      <rPr>
        <b/>
        <sz val="12"/>
        <rFont val="Calibri"/>
        <family val="2"/>
      </rPr>
      <t>AC.L2-3.1.9</t>
    </r>
    <r>
      <rPr>
        <sz val="12"/>
        <rFont val="Calibri"/>
        <family val="2"/>
      </rPr>
      <t xml:space="preserve">
</t>
    </r>
    <r>
      <rPr>
        <i/>
        <sz val="12"/>
        <rFont val="Calibri"/>
        <family val="2"/>
      </rPr>
      <t>Privacy &amp; Security Notices</t>
    </r>
    <r>
      <rPr>
        <sz val="12"/>
        <rFont val="Calibri"/>
        <family val="2"/>
      </rPr>
      <t xml:space="preserve">
Provide privacy and security notices consistent with applicable CUI rules.
• NIST SP 800-171 Rev 2 3.1.9</t>
    </r>
  </si>
  <si>
    <r>
      <rPr>
        <sz val="12"/>
        <color rgb="FFFF0000"/>
        <rFont val="Calibri"/>
        <family val="2"/>
      </rPr>
      <t>AC.2.010</t>
    </r>
    <r>
      <rPr>
        <sz val="12"/>
        <rFont val="Calibri"/>
        <family val="2"/>
      </rPr>
      <t xml:space="preserve">
</t>
    </r>
    <r>
      <rPr>
        <b/>
        <sz val="12"/>
        <rFont val="Calibri"/>
        <family val="2"/>
      </rPr>
      <t>AC.L2-3.1.10</t>
    </r>
    <r>
      <rPr>
        <sz val="12"/>
        <rFont val="Calibri"/>
        <family val="2"/>
      </rPr>
      <t xml:space="preserve">
</t>
    </r>
    <r>
      <rPr>
        <i/>
        <sz val="12"/>
        <rFont val="Calibri"/>
        <family val="2"/>
      </rPr>
      <t>Session Lock</t>
    </r>
    <r>
      <rPr>
        <sz val="12"/>
        <rFont val="Calibri"/>
        <family val="2"/>
      </rPr>
      <t xml:space="preserve">
Use session lock with pattern-hiding displays to prevent access and viewing of data after a period of inactivity. 
• NIST SP 800-171 Rev 2 3.1.10</t>
    </r>
  </si>
  <si>
    <r>
      <rPr>
        <sz val="12"/>
        <color rgb="FFFF0000"/>
        <rFont val="Calibri"/>
        <family val="2"/>
      </rPr>
      <t>AC.3.019</t>
    </r>
    <r>
      <rPr>
        <sz val="12"/>
        <rFont val="Calibri"/>
        <family val="2"/>
      </rPr>
      <t xml:space="preserve">
</t>
    </r>
    <r>
      <rPr>
        <b/>
        <sz val="12"/>
        <rFont val="Calibri"/>
        <family val="2"/>
      </rPr>
      <t>AC.L2-3.1.11</t>
    </r>
    <r>
      <rPr>
        <sz val="12"/>
        <rFont val="Calibri"/>
        <family val="2"/>
      </rPr>
      <t xml:space="preserve">
</t>
    </r>
    <r>
      <rPr>
        <i/>
        <sz val="12"/>
        <rFont val="Calibri"/>
        <family val="2"/>
      </rPr>
      <t>Session Termination</t>
    </r>
    <r>
      <rPr>
        <sz val="12"/>
        <rFont val="Calibri"/>
        <family val="2"/>
      </rPr>
      <t xml:space="preserve">
Terminate (automatically) a user session after a defined condition.
• NIST SP 800-171 Rev 2 3.1.11</t>
    </r>
  </si>
  <si>
    <r>
      <rPr>
        <sz val="12"/>
        <color rgb="FFFF0000"/>
        <rFont val="Calibri"/>
        <family val="2"/>
      </rPr>
      <t>AC.2.013</t>
    </r>
    <r>
      <rPr>
        <sz val="12"/>
        <rFont val="Calibri"/>
        <family val="2"/>
      </rPr>
      <t xml:space="preserve">
</t>
    </r>
    <r>
      <rPr>
        <b/>
        <sz val="12"/>
        <rFont val="Calibri"/>
        <family val="2"/>
      </rPr>
      <t>AC.L2-3.1.12</t>
    </r>
    <r>
      <rPr>
        <sz val="12"/>
        <rFont val="Calibri"/>
        <family val="2"/>
      </rPr>
      <t xml:space="preserve">
</t>
    </r>
    <r>
      <rPr>
        <i/>
        <sz val="12"/>
        <rFont val="Calibri"/>
        <family val="2"/>
      </rPr>
      <t>Control Remote Access</t>
    </r>
    <r>
      <rPr>
        <sz val="12"/>
        <rFont val="Calibri"/>
        <family val="2"/>
      </rPr>
      <t xml:space="preserve">
Monitor and control remote access sessions.
• NIST SP 800-171 Rev 2 3.1.12</t>
    </r>
  </si>
  <si>
    <r>
      <rPr>
        <sz val="12"/>
        <color rgb="FFFF0000"/>
        <rFont val="Calibri"/>
        <family val="2"/>
      </rPr>
      <t>AC.3.014</t>
    </r>
    <r>
      <rPr>
        <sz val="12"/>
        <rFont val="Calibri"/>
        <family val="2"/>
      </rPr>
      <t xml:space="preserve">
</t>
    </r>
    <r>
      <rPr>
        <b/>
        <sz val="12"/>
        <rFont val="Calibri"/>
        <family val="2"/>
      </rPr>
      <t>AC.L2-3.1.13</t>
    </r>
    <r>
      <rPr>
        <sz val="12"/>
        <rFont val="Calibri"/>
        <family val="2"/>
      </rPr>
      <t xml:space="preserve">
</t>
    </r>
    <r>
      <rPr>
        <i/>
        <sz val="12"/>
        <rFont val="Calibri"/>
        <family val="2"/>
      </rPr>
      <t>Remote Access Confidentiality</t>
    </r>
    <r>
      <rPr>
        <sz val="12"/>
        <rFont val="Calibri"/>
        <family val="2"/>
      </rPr>
      <t xml:space="preserve">
Employ cryptographic mechanisms to protect the confidentiality of remote access sessions.
• NIST SP 800-171 Rev 2 3.1.13</t>
    </r>
  </si>
  <si>
    <r>
      <rPr>
        <sz val="12"/>
        <color rgb="FFFF0000"/>
        <rFont val="Calibri"/>
        <family val="2"/>
      </rPr>
      <t>AC.2.015</t>
    </r>
    <r>
      <rPr>
        <sz val="12"/>
        <rFont val="Calibri"/>
        <family val="2"/>
      </rPr>
      <t xml:space="preserve">
</t>
    </r>
    <r>
      <rPr>
        <b/>
        <sz val="12"/>
        <rFont val="Calibri"/>
        <family val="2"/>
      </rPr>
      <t>AC.L2-3.1.14</t>
    </r>
    <r>
      <rPr>
        <sz val="12"/>
        <rFont val="Calibri"/>
        <family val="2"/>
      </rPr>
      <t xml:space="preserve">
</t>
    </r>
    <r>
      <rPr>
        <i/>
        <sz val="12"/>
        <rFont val="Calibri"/>
        <family val="2"/>
      </rPr>
      <t>Remote Access Routing</t>
    </r>
    <r>
      <rPr>
        <sz val="12"/>
        <rFont val="Calibri"/>
        <family val="2"/>
      </rPr>
      <t xml:space="preserve">
Route remote access via managed access control points. 
• NIST SP 800-171 Rev 2 3.1.14</t>
    </r>
  </si>
  <si>
    <r>
      <rPr>
        <sz val="12"/>
        <color rgb="FFFF0000"/>
        <rFont val="Calibri"/>
        <family val="2"/>
      </rPr>
      <t>AC.3.021</t>
    </r>
    <r>
      <rPr>
        <sz val="12"/>
        <rFont val="Calibri"/>
        <family val="2"/>
      </rPr>
      <t xml:space="preserve">
</t>
    </r>
    <r>
      <rPr>
        <b/>
        <sz val="12"/>
        <rFont val="Calibri"/>
        <family val="2"/>
      </rPr>
      <t>AC.L2-3.1.15</t>
    </r>
    <r>
      <rPr>
        <sz val="12"/>
        <rFont val="Calibri"/>
        <family val="2"/>
      </rPr>
      <t xml:space="preserve">
</t>
    </r>
    <r>
      <rPr>
        <i/>
        <sz val="12"/>
        <rFont val="Calibri"/>
        <family val="2"/>
      </rPr>
      <t>Privileged Remote Access</t>
    </r>
    <r>
      <rPr>
        <sz val="12"/>
        <rFont val="Calibri"/>
        <family val="2"/>
      </rPr>
      <t xml:space="preserve">
Authorize remote execution of privileged commands and remote access to security-relevant information. 
• NIST SP 800-171 Rev 2 3.1.15</t>
    </r>
  </si>
  <si>
    <r>
      <rPr>
        <sz val="12"/>
        <color rgb="FFFF0000"/>
        <rFont val="Calibri"/>
        <family val="2"/>
      </rPr>
      <t>AC.2.011</t>
    </r>
    <r>
      <rPr>
        <sz val="12"/>
        <rFont val="Calibri"/>
        <family val="2"/>
      </rPr>
      <t xml:space="preserve">
</t>
    </r>
    <r>
      <rPr>
        <b/>
        <sz val="12"/>
        <rFont val="Calibri"/>
        <family val="2"/>
      </rPr>
      <t>AC.L2-3.1.16</t>
    </r>
    <r>
      <rPr>
        <sz val="12"/>
        <rFont val="Calibri"/>
        <family val="2"/>
      </rPr>
      <t xml:space="preserve">
</t>
    </r>
    <r>
      <rPr>
        <i/>
        <sz val="12"/>
        <rFont val="Calibri"/>
        <family val="2"/>
      </rPr>
      <t>Wireless Access Authorization</t>
    </r>
    <r>
      <rPr>
        <sz val="12"/>
        <rFont val="Calibri"/>
        <family val="2"/>
      </rPr>
      <t xml:space="preserve">
Authorize wireless access prior to allowing such connections.
• NIST SP 800-171 Rev 2 3.1.16</t>
    </r>
  </si>
  <si>
    <r>
      <rPr>
        <sz val="12"/>
        <color rgb="FFFF0000"/>
        <rFont val="Calibri"/>
        <family val="2"/>
      </rPr>
      <t>AC.3.012</t>
    </r>
    <r>
      <rPr>
        <sz val="12"/>
        <rFont val="Calibri"/>
        <family val="2"/>
      </rPr>
      <t xml:space="preserve">
</t>
    </r>
    <r>
      <rPr>
        <b/>
        <sz val="12"/>
        <rFont val="Calibri"/>
        <family val="2"/>
      </rPr>
      <t>AC.L2-3.1.17</t>
    </r>
    <r>
      <rPr>
        <sz val="12"/>
        <rFont val="Calibri"/>
        <family val="2"/>
      </rPr>
      <t xml:space="preserve">
</t>
    </r>
    <r>
      <rPr>
        <i/>
        <sz val="12"/>
        <rFont val="Calibri"/>
        <family val="2"/>
      </rPr>
      <t>Wireless Access Protection</t>
    </r>
    <r>
      <rPr>
        <sz val="12"/>
        <rFont val="Calibri"/>
        <family val="2"/>
      </rPr>
      <t xml:space="preserve">
Protect wireless access using authentication and encryption. 
• NIST SP 800-171 Rev 2 3.1.17</t>
    </r>
  </si>
  <si>
    <r>
      <rPr>
        <sz val="12"/>
        <color rgb="FFFF0000"/>
        <rFont val="Calibri"/>
        <family val="2"/>
      </rPr>
      <t>AC.3.020</t>
    </r>
    <r>
      <rPr>
        <sz val="12"/>
        <rFont val="Calibri"/>
        <family val="2"/>
      </rPr>
      <t xml:space="preserve">
</t>
    </r>
    <r>
      <rPr>
        <b/>
        <sz val="12"/>
        <rFont val="Calibri"/>
        <family val="2"/>
      </rPr>
      <t>AC.L2-3.1.18</t>
    </r>
    <r>
      <rPr>
        <sz val="12"/>
        <rFont val="Calibri"/>
        <family val="2"/>
      </rPr>
      <t xml:space="preserve">
</t>
    </r>
    <r>
      <rPr>
        <i/>
        <sz val="12"/>
        <rFont val="Calibri"/>
        <family val="2"/>
      </rPr>
      <t>Mobile Device Connection</t>
    </r>
    <r>
      <rPr>
        <sz val="12"/>
        <rFont val="Calibri"/>
        <family val="2"/>
      </rPr>
      <t xml:space="preserve">
Control connection of mobile devices.
• NIST SP 800-171 Rev 2 3.1.18</t>
    </r>
  </si>
  <si>
    <r>
      <rPr>
        <sz val="12"/>
        <color rgb="FFFF0000"/>
        <rFont val="Calibri"/>
        <family val="2"/>
      </rPr>
      <t>AC.3.022</t>
    </r>
    <r>
      <rPr>
        <sz val="12"/>
        <rFont val="Calibri"/>
        <family val="2"/>
      </rPr>
      <t xml:space="preserve">
</t>
    </r>
    <r>
      <rPr>
        <b/>
        <sz val="12"/>
        <rFont val="Calibri"/>
        <family val="2"/>
      </rPr>
      <t>AC.L2-3.1.19</t>
    </r>
    <r>
      <rPr>
        <sz val="12"/>
        <rFont val="Calibri"/>
        <family val="2"/>
      </rPr>
      <t xml:space="preserve">
</t>
    </r>
    <r>
      <rPr>
        <i/>
        <sz val="12"/>
        <rFont val="Calibri"/>
        <family val="2"/>
      </rPr>
      <t>Encrypt CUI on Mobile</t>
    </r>
    <r>
      <rPr>
        <sz val="12"/>
        <rFont val="Calibri"/>
        <family val="2"/>
      </rPr>
      <t xml:space="preserve">
Encrypt CUI on mobile devices and mobile computing platforms. 
• NIST SP 800-171 Rev 2 3.1.19</t>
    </r>
  </si>
  <si>
    <r>
      <rPr>
        <sz val="12"/>
        <color rgb="FFFF0000"/>
        <rFont val="Calibri"/>
        <family val="2"/>
      </rPr>
      <t>AC.2.006</t>
    </r>
    <r>
      <rPr>
        <sz val="12"/>
        <rFont val="Calibri"/>
        <family val="2"/>
      </rPr>
      <t xml:space="preserve">
</t>
    </r>
    <r>
      <rPr>
        <b/>
        <sz val="12"/>
        <rFont val="Calibri"/>
        <family val="2"/>
      </rPr>
      <t>AC.L2-3.1.21</t>
    </r>
    <r>
      <rPr>
        <sz val="12"/>
        <rFont val="Calibri"/>
        <family val="2"/>
      </rPr>
      <t xml:space="preserve">
</t>
    </r>
    <r>
      <rPr>
        <i/>
        <sz val="12"/>
        <rFont val="Calibri"/>
        <family val="2"/>
      </rPr>
      <t>Portable Storage Use</t>
    </r>
    <r>
      <rPr>
        <sz val="12"/>
        <rFont val="Calibri"/>
        <family val="2"/>
      </rPr>
      <t xml:space="preserve">
Limit use of portable storage devices on external systems.
• NIST SP 800-171 Rev 2 3.1.21</t>
    </r>
  </si>
  <si>
    <r>
      <rPr>
        <sz val="12"/>
        <color rgb="FFFF0000"/>
        <rFont val="Calibri"/>
        <family val="2"/>
      </rPr>
      <t>AU.2.042</t>
    </r>
    <r>
      <rPr>
        <sz val="12"/>
        <rFont val="Calibri"/>
        <family val="2"/>
      </rPr>
      <t xml:space="preserve">
</t>
    </r>
    <r>
      <rPr>
        <b/>
        <sz val="12"/>
        <rFont val="Calibri"/>
        <family val="2"/>
      </rPr>
      <t>AU.L2-3.3.1</t>
    </r>
    <r>
      <rPr>
        <sz val="12"/>
        <rFont val="Calibri"/>
        <family val="2"/>
      </rPr>
      <t xml:space="preserve">
</t>
    </r>
    <r>
      <rPr>
        <i/>
        <sz val="12"/>
        <rFont val="Calibri"/>
        <family val="2"/>
      </rPr>
      <t>System Auditing</t>
    </r>
    <r>
      <rPr>
        <sz val="12"/>
        <rFont val="Calibri"/>
        <family val="2"/>
      </rPr>
      <t xml:space="preserve">
Create and retain system audit logs and records to the extent needed to enable the monitoring, analysis, investigation, and reporting of unlawful or unauthorized system activity. 
• NIST SP 800-171 Rev 2 3.3.1</t>
    </r>
  </si>
  <si>
    <r>
      <rPr>
        <sz val="12"/>
        <color rgb="FFFF0000"/>
        <rFont val="Calibri"/>
        <family val="2"/>
      </rPr>
      <t>AU.2.041</t>
    </r>
    <r>
      <rPr>
        <sz val="12"/>
        <rFont val="Calibri"/>
        <family val="2"/>
      </rPr>
      <t xml:space="preserve">
</t>
    </r>
    <r>
      <rPr>
        <b/>
        <sz val="12"/>
        <rFont val="Calibri"/>
        <family val="2"/>
      </rPr>
      <t>AU.L2-3.3.2</t>
    </r>
    <r>
      <rPr>
        <sz val="12"/>
        <rFont val="Calibri"/>
        <family val="2"/>
      </rPr>
      <t xml:space="preserve">
</t>
    </r>
    <r>
      <rPr>
        <i/>
        <sz val="12"/>
        <rFont val="Calibri"/>
        <family val="2"/>
      </rPr>
      <t>User Accountability</t>
    </r>
    <r>
      <rPr>
        <sz val="12"/>
        <rFont val="Calibri"/>
        <family val="2"/>
      </rPr>
      <t xml:space="preserve">
Ensure that the actions of individual system users can be uniquely traced to those users, so they can be held accountable for their actions.
• NIST SP 800-171 Rev 2 3.3.2</t>
    </r>
  </si>
  <si>
    <r>
      <rPr>
        <sz val="12"/>
        <color rgb="FFFF0000"/>
        <rFont val="Calibri"/>
        <family val="2"/>
      </rPr>
      <t>AU.3.045</t>
    </r>
    <r>
      <rPr>
        <sz val="12"/>
        <rFont val="Calibri"/>
        <family val="2"/>
      </rPr>
      <t xml:space="preserve">
</t>
    </r>
    <r>
      <rPr>
        <b/>
        <sz val="12"/>
        <rFont val="Calibri"/>
        <family val="2"/>
      </rPr>
      <t>AU.L2-3.3.3</t>
    </r>
    <r>
      <rPr>
        <sz val="12"/>
        <rFont val="Calibri"/>
        <family val="2"/>
      </rPr>
      <t xml:space="preserve">
</t>
    </r>
    <r>
      <rPr>
        <i/>
        <sz val="12"/>
        <rFont val="Calibri"/>
        <family val="2"/>
      </rPr>
      <t>Event Review</t>
    </r>
    <r>
      <rPr>
        <sz val="12"/>
        <rFont val="Calibri"/>
        <family val="2"/>
      </rPr>
      <t xml:space="preserve">
Review and update logged events.
• NIST SP 800-171 Rev 2 3.3.3</t>
    </r>
  </si>
  <si>
    <r>
      <rPr>
        <sz val="12"/>
        <color rgb="FFFF0000"/>
        <rFont val="Calibri"/>
        <family val="2"/>
      </rPr>
      <t>AU.3.046</t>
    </r>
    <r>
      <rPr>
        <sz val="12"/>
        <rFont val="Calibri"/>
        <family val="2"/>
      </rPr>
      <t xml:space="preserve">
</t>
    </r>
    <r>
      <rPr>
        <b/>
        <sz val="12"/>
        <rFont val="Calibri"/>
        <family val="2"/>
      </rPr>
      <t>AU.L2-3.3.4</t>
    </r>
    <r>
      <rPr>
        <sz val="12"/>
        <rFont val="Calibri"/>
        <family val="2"/>
      </rPr>
      <t xml:space="preserve">
</t>
    </r>
    <r>
      <rPr>
        <i/>
        <sz val="12"/>
        <rFont val="Calibri"/>
        <family val="2"/>
      </rPr>
      <t>Audit Failure Alerting</t>
    </r>
    <r>
      <rPr>
        <sz val="12"/>
        <rFont val="Calibri"/>
        <family val="2"/>
      </rPr>
      <t xml:space="preserve">
Alert in the event of an audit logging process failure. 
• NIST SP 800-171 Rev 2 3.3.4</t>
    </r>
  </si>
  <si>
    <r>
      <rPr>
        <sz val="12"/>
        <color rgb="FFFF0000"/>
        <rFont val="Calibri"/>
        <family val="2"/>
      </rPr>
      <t>AU.3.051</t>
    </r>
    <r>
      <rPr>
        <sz val="12"/>
        <rFont val="Calibri"/>
        <family val="2"/>
      </rPr>
      <t xml:space="preserve">
</t>
    </r>
    <r>
      <rPr>
        <b/>
        <sz val="12"/>
        <rFont val="Calibri"/>
        <family val="2"/>
      </rPr>
      <t>AU.L2-3.3.5</t>
    </r>
    <r>
      <rPr>
        <sz val="12"/>
        <rFont val="Calibri"/>
        <family val="2"/>
      </rPr>
      <t xml:space="preserve">
</t>
    </r>
    <r>
      <rPr>
        <i/>
        <sz val="12"/>
        <rFont val="Calibri"/>
        <family val="2"/>
      </rPr>
      <t>Audit Correlation</t>
    </r>
    <r>
      <rPr>
        <sz val="12"/>
        <rFont val="Calibri"/>
        <family val="2"/>
      </rPr>
      <t xml:space="preserve">
Correlate audit record review, analysis, and reporting processes for investigation and response to indications of unlawful, unauthorized, suspicious, or unusual activity.
• NIST SP 800-171 Rev 2 3.3.5</t>
    </r>
  </si>
  <si>
    <r>
      <rPr>
        <sz val="12"/>
        <color rgb="FFFF0000"/>
        <rFont val="Calibri"/>
        <family val="2"/>
      </rPr>
      <t>AU.3.052</t>
    </r>
    <r>
      <rPr>
        <sz val="12"/>
        <rFont val="Calibri"/>
        <family val="2"/>
      </rPr>
      <t xml:space="preserve">
</t>
    </r>
    <r>
      <rPr>
        <b/>
        <sz val="12"/>
        <rFont val="Calibri"/>
        <family val="2"/>
      </rPr>
      <t>AU.L2-3.3.6</t>
    </r>
    <r>
      <rPr>
        <sz val="12"/>
        <rFont val="Calibri"/>
        <family val="2"/>
      </rPr>
      <t xml:space="preserve">
</t>
    </r>
    <r>
      <rPr>
        <i/>
        <sz val="12"/>
        <rFont val="Calibri"/>
        <family val="2"/>
      </rPr>
      <t>Reduction &amp; Reporting</t>
    </r>
    <r>
      <rPr>
        <sz val="12"/>
        <rFont val="Calibri"/>
        <family val="2"/>
      </rPr>
      <t xml:space="preserve">
Provide audit record reduction and report generation to support on-demand analysis and reporting.
• NIST SP 800-171 Rev 2 3.3.6</t>
    </r>
  </si>
  <si>
    <r>
      <rPr>
        <sz val="12"/>
        <color rgb="FFFF0000"/>
        <rFont val="Calibri"/>
        <family val="2"/>
      </rPr>
      <t>AU.2.043</t>
    </r>
    <r>
      <rPr>
        <sz val="12"/>
        <rFont val="Calibri"/>
        <family val="2"/>
      </rPr>
      <t xml:space="preserve">
</t>
    </r>
    <r>
      <rPr>
        <b/>
        <sz val="12"/>
        <rFont val="Calibri"/>
        <family val="2"/>
      </rPr>
      <t>AU.L2-3.3.7</t>
    </r>
    <r>
      <rPr>
        <sz val="12"/>
        <rFont val="Calibri"/>
        <family val="2"/>
      </rPr>
      <t xml:space="preserve">
</t>
    </r>
    <r>
      <rPr>
        <i/>
        <sz val="12"/>
        <rFont val="Calibri"/>
        <family val="2"/>
      </rPr>
      <t>Authoritative Time Source</t>
    </r>
    <r>
      <rPr>
        <sz val="12"/>
        <rFont val="Calibri"/>
        <family val="2"/>
      </rPr>
      <t xml:space="preserve">
Provide a system capability that compares and synchronizes internal system clocks with an authoritative source to generate time stamps for audit records.
• NIST SP 800-171 Rev 2 3.3.7</t>
    </r>
  </si>
  <si>
    <r>
      <rPr>
        <sz val="12"/>
        <color rgb="FFFF0000"/>
        <rFont val="Calibri"/>
        <family val="2"/>
      </rPr>
      <t>AU.3.049</t>
    </r>
    <r>
      <rPr>
        <sz val="12"/>
        <rFont val="Calibri"/>
        <family val="2"/>
      </rPr>
      <t xml:space="preserve">
</t>
    </r>
    <r>
      <rPr>
        <b/>
        <sz val="12"/>
        <rFont val="Calibri"/>
        <family val="2"/>
      </rPr>
      <t>AU.L2-3.3.8</t>
    </r>
    <r>
      <rPr>
        <sz val="12"/>
        <rFont val="Calibri"/>
        <family val="2"/>
      </rPr>
      <t xml:space="preserve">
</t>
    </r>
    <r>
      <rPr>
        <i/>
        <sz val="12"/>
        <rFont val="Calibri"/>
        <family val="2"/>
      </rPr>
      <t>Audit Protection</t>
    </r>
    <r>
      <rPr>
        <sz val="12"/>
        <rFont val="Calibri"/>
        <family val="2"/>
      </rPr>
      <t xml:space="preserve">
Protect audit information and audit logging tools from unauthorized access, modification, and deletion.
• NIST SP 800-171 Rev 2 3.3.8</t>
    </r>
  </si>
  <si>
    <r>
      <rPr>
        <sz val="12"/>
        <color rgb="FFFF0000"/>
        <rFont val="Calibri"/>
        <family val="2"/>
      </rPr>
      <t>AU.3.050</t>
    </r>
    <r>
      <rPr>
        <sz val="12"/>
        <rFont val="Calibri"/>
        <family val="2"/>
      </rPr>
      <t xml:space="preserve">
</t>
    </r>
    <r>
      <rPr>
        <b/>
        <sz val="12"/>
        <rFont val="Calibri"/>
        <family val="2"/>
      </rPr>
      <t>AU.L2-3.3.9</t>
    </r>
    <r>
      <rPr>
        <sz val="12"/>
        <rFont val="Calibri"/>
        <family val="2"/>
      </rPr>
      <t xml:space="preserve">
</t>
    </r>
    <r>
      <rPr>
        <i/>
        <sz val="12"/>
        <rFont val="Calibri"/>
        <family val="2"/>
      </rPr>
      <t>Audit Management</t>
    </r>
    <r>
      <rPr>
        <sz val="12"/>
        <rFont val="Calibri"/>
        <family val="2"/>
      </rPr>
      <t xml:space="preserve">
Limit management of audit logging functionality to a subset of privileged users. 
• NIST SP 800-171 Rev 2 3.3.9</t>
    </r>
  </si>
  <si>
    <r>
      <rPr>
        <sz val="12"/>
        <color rgb="FFFF0000"/>
        <rFont val="Calibri"/>
        <family val="2"/>
      </rPr>
      <t>AT.2.056</t>
    </r>
    <r>
      <rPr>
        <sz val="12"/>
        <rFont val="Calibri"/>
        <family val="2"/>
      </rPr>
      <t xml:space="preserve">
</t>
    </r>
    <r>
      <rPr>
        <b/>
        <sz val="12"/>
        <rFont val="Calibri"/>
        <family val="2"/>
      </rPr>
      <t>AT.L2-3.2.1</t>
    </r>
    <r>
      <rPr>
        <sz val="12"/>
        <rFont val="Calibri"/>
        <family val="2"/>
      </rPr>
      <t xml:space="preserve">
</t>
    </r>
    <r>
      <rPr>
        <i/>
        <sz val="12"/>
        <rFont val="Calibri"/>
        <family val="2"/>
      </rPr>
      <t>Role-Based Risk Awareness</t>
    </r>
    <r>
      <rPr>
        <sz val="12"/>
        <rFont val="Calibri"/>
        <family val="2"/>
      </rPr>
      <t xml:space="preserve">
Ensure that managers, systems administrators, and users of organizational systems are made aware of the security risks associated with their activities and of the applicable policies, standards, and procedures related to the security of those systems.
• NIST SP 800-171 Rev 2 3.2.1
</t>
    </r>
  </si>
  <si>
    <r>
      <rPr>
        <sz val="12"/>
        <color rgb="FFFF0000"/>
        <rFont val="Calibri"/>
        <family val="2"/>
      </rPr>
      <t>AT.2.057</t>
    </r>
    <r>
      <rPr>
        <sz val="12"/>
        <rFont val="Calibri"/>
        <family val="2"/>
      </rPr>
      <t xml:space="preserve">
</t>
    </r>
    <r>
      <rPr>
        <b/>
        <sz val="12"/>
        <rFont val="Calibri"/>
        <family val="2"/>
      </rPr>
      <t>AT.L2-3.2.2</t>
    </r>
    <r>
      <rPr>
        <sz val="12"/>
        <rFont val="Calibri"/>
        <family val="2"/>
      </rPr>
      <t xml:space="preserve">
</t>
    </r>
    <r>
      <rPr>
        <i/>
        <sz val="12"/>
        <rFont val="Calibri"/>
        <family val="2"/>
      </rPr>
      <t>Role-Based Training</t>
    </r>
    <r>
      <rPr>
        <sz val="12"/>
        <rFont val="Calibri"/>
        <family val="2"/>
      </rPr>
      <t xml:space="preserve">
Ensure that personnel are trained to carry out their assigned information security-related duties and responsibilities. 
• NIST SP 800-171 Rev 2 3.2.2</t>
    </r>
  </si>
  <si>
    <r>
      <rPr>
        <sz val="12"/>
        <color rgb="FFFF0000"/>
        <rFont val="Calibri"/>
        <family val="2"/>
      </rPr>
      <t>AT.3.058</t>
    </r>
    <r>
      <rPr>
        <sz val="12"/>
        <rFont val="Calibri"/>
        <family val="2"/>
      </rPr>
      <t xml:space="preserve">
</t>
    </r>
    <r>
      <rPr>
        <b/>
        <sz val="12"/>
        <rFont val="Calibri"/>
        <family val="2"/>
      </rPr>
      <t>AT.L2-3.2.3</t>
    </r>
    <r>
      <rPr>
        <sz val="12"/>
        <rFont val="Calibri"/>
        <family val="2"/>
      </rPr>
      <t xml:space="preserve">
</t>
    </r>
    <r>
      <rPr>
        <i/>
        <sz val="12"/>
        <rFont val="Calibri"/>
        <family val="2"/>
      </rPr>
      <t>Insider Threat Awareness</t>
    </r>
    <r>
      <rPr>
        <sz val="12"/>
        <rFont val="Calibri"/>
        <family val="2"/>
      </rPr>
      <t xml:space="preserve">
Provide security awareness training on recognizing and reporting potential indicators of insider threat.
• NIST SP 800-171 Rev 2 3.2.3</t>
    </r>
  </si>
  <si>
    <r>
      <rPr>
        <sz val="12"/>
        <color rgb="FFFF0000"/>
        <rFont val="Calibri"/>
        <family val="2"/>
      </rPr>
      <t>CM.2.061</t>
    </r>
    <r>
      <rPr>
        <sz val="12"/>
        <rFont val="Calibri"/>
        <family val="2"/>
      </rPr>
      <t xml:space="preserve">
</t>
    </r>
    <r>
      <rPr>
        <b/>
        <sz val="12"/>
        <rFont val="Calibri"/>
        <family val="2"/>
      </rPr>
      <t>CM.L2-3.4.1</t>
    </r>
    <r>
      <rPr>
        <sz val="12"/>
        <rFont val="Calibri"/>
        <family val="2"/>
      </rPr>
      <t xml:space="preserve">
</t>
    </r>
    <r>
      <rPr>
        <i/>
        <sz val="12"/>
        <rFont val="Calibri"/>
        <family val="2"/>
      </rPr>
      <t>System Baselining</t>
    </r>
    <r>
      <rPr>
        <sz val="12"/>
        <rFont val="Calibri"/>
        <family val="2"/>
      </rPr>
      <t xml:space="preserve">
Establish and maintain baseline configurations and inventories of organizational systems (including hardware, software, firmware, and documentation) throughout the respective system development life cycles.
• NIST SP 800-171 Rev 2 3.4.1</t>
    </r>
  </si>
  <si>
    <r>
      <rPr>
        <sz val="12"/>
        <color rgb="FFFF0000"/>
        <rFont val="Calibri"/>
        <family val="2"/>
      </rPr>
      <t>CM.2.064</t>
    </r>
    <r>
      <rPr>
        <sz val="12"/>
        <rFont val="Calibri"/>
        <family val="2"/>
      </rPr>
      <t xml:space="preserve">
</t>
    </r>
    <r>
      <rPr>
        <b/>
        <sz val="12"/>
        <rFont val="Calibri"/>
        <family val="2"/>
      </rPr>
      <t>CM.L2-3.4.2</t>
    </r>
    <r>
      <rPr>
        <sz val="12"/>
        <rFont val="Calibri"/>
        <family val="2"/>
      </rPr>
      <t xml:space="preserve">
</t>
    </r>
    <r>
      <rPr>
        <i/>
        <sz val="12"/>
        <rFont val="Calibri"/>
        <family val="2"/>
      </rPr>
      <t>Security Configuration Enforcement</t>
    </r>
    <r>
      <rPr>
        <sz val="12"/>
        <rFont val="Calibri"/>
        <family val="2"/>
      </rPr>
      <t xml:space="preserve">
Establish and enforce security configuration settings for information technology products employed in organizational systems.
• NIST SP 800-171 Rev 2 3.4.2</t>
    </r>
  </si>
  <si>
    <r>
      <rPr>
        <sz val="12"/>
        <color rgb="FFFF0000"/>
        <rFont val="Calibri"/>
        <family val="2"/>
      </rPr>
      <t>CM.2.065</t>
    </r>
    <r>
      <rPr>
        <sz val="12"/>
        <rFont val="Calibri"/>
        <family val="2"/>
      </rPr>
      <t xml:space="preserve">
</t>
    </r>
    <r>
      <rPr>
        <b/>
        <sz val="12"/>
        <rFont val="Calibri"/>
        <family val="2"/>
      </rPr>
      <t>CM.L2-3.4.3</t>
    </r>
    <r>
      <rPr>
        <sz val="12"/>
        <rFont val="Calibri"/>
        <family val="2"/>
      </rPr>
      <t xml:space="preserve">
</t>
    </r>
    <r>
      <rPr>
        <i/>
        <sz val="12"/>
        <rFont val="Calibri"/>
        <family val="2"/>
      </rPr>
      <t>System Change Management</t>
    </r>
    <r>
      <rPr>
        <sz val="12"/>
        <rFont val="Calibri"/>
        <family val="2"/>
      </rPr>
      <t xml:space="preserve">
Track, review, approve or disapprove, and log changes to organizational systems. 
• NIST SP 800-171 Rev 2 3.4.3</t>
    </r>
  </si>
  <si>
    <r>
      <rPr>
        <sz val="12"/>
        <color rgb="FFFF0000"/>
        <rFont val="Calibri"/>
        <family val="2"/>
      </rPr>
      <t>CM.2.066</t>
    </r>
    <r>
      <rPr>
        <sz val="12"/>
        <rFont val="Calibri"/>
        <family val="2"/>
      </rPr>
      <t xml:space="preserve">
</t>
    </r>
    <r>
      <rPr>
        <b/>
        <sz val="12"/>
        <rFont val="Calibri"/>
        <family val="2"/>
      </rPr>
      <t>CM.L2-3.4.4</t>
    </r>
    <r>
      <rPr>
        <sz val="12"/>
        <rFont val="Calibri"/>
        <family val="2"/>
      </rPr>
      <t xml:space="preserve">
</t>
    </r>
    <r>
      <rPr>
        <i/>
        <sz val="12"/>
        <rFont val="Calibri"/>
        <family val="2"/>
      </rPr>
      <t>Security Impact Analysis</t>
    </r>
    <r>
      <rPr>
        <sz val="12"/>
        <rFont val="Calibri"/>
        <family val="2"/>
      </rPr>
      <t xml:space="preserve">
Analyze the security impact of changes prior to implementation. 
• NIST SP 800-171 Rev 2 3.4.4</t>
    </r>
  </si>
  <si>
    <r>
      <rPr>
        <sz val="12"/>
        <color rgb="FFFF0000"/>
        <rFont val="Calibri"/>
        <family val="2"/>
      </rPr>
      <t>CM.3.067</t>
    </r>
    <r>
      <rPr>
        <sz val="12"/>
        <rFont val="Calibri"/>
        <family val="2"/>
      </rPr>
      <t xml:space="preserve">
</t>
    </r>
    <r>
      <rPr>
        <b/>
        <sz val="12"/>
        <rFont val="Calibri"/>
        <family val="2"/>
      </rPr>
      <t>CM.L2-3.4.5</t>
    </r>
    <r>
      <rPr>
        <sz val="12"/>
        <rFont val="Calibri"/>
        <family val="2"/>
      </rPr>
      <t xml:space="preserve">
</t>
    </r>
    <r>
      <rPr>
        <i/>
        <sz val="12"/>
        <rFont val="Calibri"/>
        <family val="2"/>
      </rPr>
      <t>Access Restrictions for Change</t>
    </r>
    <r>
      <rPr>
        <sz val="12"/>
        <rFont val="Calibri"/>
        <family val="2"/>
      </rPr>
      <t xml:space="preserve">
Define, document, approve, and enforce physical and logical access restrictions associated with changes to organizational systems.
• NIST SP 800-171 Rev 2 3.4.5</t>
    </r>
  </si>
  <si>
    <r>
      <rPr>
        <sz val="12"/>
        <color rgb="FFFF0000"/>
        <rFont val="Calibri"/>
        <family val="2"/>
      </rPr>
      <t>CM.2.062</t>
    </r>
    <r>
      <rPr>
        <sz val="12"/>
        <rFont val="Calibri"/>
        <family val="2"/>
      </rPr>
      <t xml:space="preserve">
</t>
    </r>
    <r>
      <rPr>
        <b/>
        <sz val="12"/>
        <rFont val="Calibri"/>
        <family val="2"/>
      </rPr>
      <t>CM.L2-3.4.6</t>
    </r>
    <r>
      <rPr>
        <sz val="12"/>
        <rFont val="Calibri"/>
        <family val="2"/>
      </rPr>
      <t xml:space="preserve">
</t>
    </r>
    <r>
      <rPr>
        <i/>
        <sz val="12"/>
        <rFont val="Calibri"/>
        <family val="2"/>
      </rPr>
      <t>Least Functionality</t>
    </r>
    <r>
      <rPr>
        <sz val="12"/>
        <rFont val="Calibri"/>
        <family val="2"/>
      </rPr>
      <t xml:space="preserve">
Employ the principle of least functionality by configuring organizational systems to provide only essential capabilities. 
• NIST SP 800-171 Rev 2 3.4.6</t>
    </r>
  </si>
  <si>
    <r>
      <rPr>
        <sz val="12"/>
        <color rgb="FFFF0000"/>
        <rFont val="Calibri"/>
        <family val="2"/>
      </rPr>
      <t>CM.3.068</t>
    </r>
    <r>
      <rPr>
        <sz val="12"/>
        <rFont val="Calibri"/>
        <family val="2"/>
      </rPr>
      <t xml:space="preserve">
</t>
    </r>
    <r>
      <rPr>
        <b/>
        <sz val="12"/>
        <rFont val="Calibri"/>
        <family val="2"/>
      </rPr>
      <t>CM.L2-3.4.7</t>
    </r>
    <r>
      <rPr>
        <sz val="12"/>
        <rFont val="Calibri"/>
        <family val="2"/>
      </rPr>
      <t xml:space="preserve">
</t>
    </r>
    <r>
      <rPr>
        <i/>
        <sz val="12"/>
        <rFont val="Calibri"/>
        <family val="2"/>
      </rPr>
      <t>Nonessential Functionality</t>
    </r>
    <r>
      <rPr>
        <sz val="12"/>
        <rFont val="Calibri"/>
        <family val="2"/>
      </rPr>
      <t xml:space="preserve">
Restrict, disable, or prevent the use of nonessential programs, functions, ports, protocols, and services. 
• NIST SP 800-171 Rev 2 3.4.7</t>
    </r>
  </si>
  <si>
    <r>
      <rPr>
        <sz val="12"/>
        <color rgb="FFFF0000"/>
        <rFont val="Calibri"/>
        <family val="2"/>
      </rPr>
      <t>CM.3.069</t>
    </r>
    <r>
      <rPr>
        <sz val="12"/>
        <rFont val="Calibri"/>
        <family val="2"/>
      </rPr>
      <t xml:space="preserve">
</t>
    </r>
    <r>
      <rPr>
        <b/>
        <sz val="12"/>
        <rFont val="Calibri"/>
        <family val="2"/>
      </rPr>
      <t>CM.L2-3.4.8</t>
    </r>
    <r>
      <rPr>
        <sz val="12"/>
        <rFont val="Calibri"/>
        <family val="2"/>
      </rPr>
      <t xml:space="preserve">
</t>
    </r>
    <r>
      <rPr>
        <i/>
        <sz val="12"/>
        <rFont val="Calibri"/>
        <family val="2"/>
      </rPr>
      <t>Application Execution Policy</t>
    </r>
    <r>
      <rPr>
        <sz val="12"/>
        <rFont val="Calibri"/>
        <family val="2"/>
      </rPr>
      <t xml:space="preserve">
Apply deny-by-exception (blacklisting) policy to prevent the use of unauthorized software or deny-all, permit-by-exception (whitelisting) policy to allow the execution of authorized software. 
• NIST SP 800-171 Rev 2 3.4.8</t>
    </r>
  </si>
  <si>
    <r>
      <rPr>
        <sz val="12"/>
        <color rgb="FFFF0000"/>
        <rFont val="Calibri"/>
        <family val="2"/>
      </rPr>
      <t>CM.2.063</t>
    </r>
    <r>
      <rPr>
        <sz val="12"/>
        <rFont val="Calibri"/>
        <family val="2"/>
      </rPr>
      <t xml:space="preserve">
</t>
    </r>
    <r>
      <rPr>
        <b/>
        <sz val="12"/>
        <rFont val="Calibri"/>
        <family val="2"/>
      </rPr>
      <t>CM.L2-3.4.9</t>
    </r>
    <r>
      <rPr>
        <sz val="12"/>
        <rFont val="Calibri"/>
        <family val="2"/>
      </rPr>
      <t xml:space="preserve">
</t>
    </r>
    <r>
      <rPr>
        <i/>
        <sz val="12"/>
        <rFont val="Calibri"/>
        <family val="2"/>
      </rPr>
      <t>User-Installed Software</t>
    </r>
    <r>
      <rPr>
        <sz val="12"/>
        <rFont val="Calibri"/>
        <family val="2"/>
      </rPr>
      <t xml:space="preserve">
Control and monitor user-installed software.
• NIST SP 800-171 Rev 2 3.4.9</t>
    </r>
  </si>
  <si>
    <r>
      <rPr>
        <sz val="12"/>
        <color rgb="FFFF0000"/>
        <rFont val="Calibri"/>
        <family val="2"/>
      </rPr>
      <t>IA.1.076</t>
    </r>
    <r>
      <rPr>
        <sz val="12"/>
        <rFont val="Calibri"/>
        <family val="2"/>
      </rPr>
      <t xml:space="preserve">
</t>
    </r>
    <r>
      <rPr>
        <b/>
        <sz val="12"/>
        <rFont val="Calibri"/>
        <family val="2"/>
      </rPr>
      <t>IA.L1-3.5.1</t>
    </r>
    <r>
      <rPr>
        <sz val="12"/>
        <rFont val="Calibri"/>
        <family val="2"/>
      </rPr>
      <t xml:space="preserve">
</t>
    </r>
    <r>
      <rPr>
        <i/>
        <sz val="12"/>
        <rFont val="Calibri"/>
        <family val="2"/>
      </rPr>
      <t>Identification</t>
    </r>
    <r>
      <rPr>
        <sz val="12"/>
        <rFont val="Calibri"/>
        <family val="2"/>
      </rPr>
      <t xml:space="preserve">
Identify information system users, processes acting on behalf of users, or devices.
• FAR Clause 52.204-21 b.1.v
• NIST SP 800-171 Rev 2 3.5.1
</t>
    </r>
  </si>
  <si>
    <r>
      <rPr>
        <sz val="12"/>
        <color rgb="FFFF0000"/>
        <rFont val="Calibri"/>
        <family val="2"/>
      </rPr>
      <t>IA.3.083</t>
    </r>
    <r>
      <rPr>
        <sz val="12"/>
        <rFont val="Calibri"/>
        <family val="2"/>
      </rPr>
      <t xml:space="preserve">
</t>
    </r>
    <r>
      <rPr>
        <b/>
        <sz val="12"/>
        <rFont val="Calibri"/>
        <family val="2"/>
      </rPr>
      <t>IA.L2-3.5.3</t>
    </r>
    <r>
      <rPr>
        <sz val="12"/>
        <rFont val="Calibri"/>
        <family val="2"/>
      </rPr>
      <t xml:space="preserve">
</t>
    </r>
    <r>
      <rPr>
        <i/>
        <sz val="12"/>
        <rFont val="Calibri"/>
        <family val="2"/>
      </rPr>
      <t>Multifactor Authentication</t>
    </r>
    <r>
      <rPr>
        <sz val="12"/>
        <rFont val="Calibri"/>
        <family val="2"/>
      </rPr>
      <t xml:space="preserve">
Use multifactor authentication for local and network access to privileged accounts and for network access to non-privileged accounts. 
• NIST SP 800-171 Rev 2 3.5.3</t>
    </r>
  </si>
  <si>
    <r>
      <rPr>
        <sz val="12"/>
        <color rgb="FFFF0000"/>
        <rFont val="Calibri"/>
        <family val="2"/>
      </rPr>
      <t>IA.1.077</t>
    </r>
    <r>
      <rPr>
        <sz val="12"/>
        <rFont val="Calibri"/>
        <family val="2"/>
      </rPr>
      <t xml:space="preserve">
</t>
    </r>
    <r>
      <rPr>
        <b/>
        <sz val="12"/>
        <rFont val="Calibri"/>
        <family val="2"/>
      </rPr>
      <t>IA.L1-3.5.2</t>
    </r>
    <r>
      <rPr>
        <sz val="12"/>
        <rFont val="Calibri"/>
        <family val="2"/>
      </rPr>
      <t xml:space="preserve">
</t>
    </r>
    <r>
      <rPr>
        <i/>
        <sz val="12"/>
        <rFont val="Calibri"/>
        <family val="2"/>
      </rPr>
      <t>Authentication</t>
    </r>
    <r>
      <rPr>
        <sz val="12"/>
        <rFont val="Calibri"/>
        <family val="2"/>
      </rPr>
      <t xml:space="preserve">
Authenticate (or verify) the identities of those users, processes, or devices, as a prerequisite to allowing access to organizational information systems.
• FAR Clause 52.204-21 b.1.vi
• NIST SP 800-171 Rev 2 3.5.2</t>
    </r>
  </si>
  <si>
    <r>
      <rPr>
        <sz val="12"/>
        <color rgb="FFFF0000"/>
        <rFont val="Calibri"/>
        <family val="2"/>
      </rPr>
      <t>IA.3.084</t>
    </r>
    <r>
      <rPr>
        <sz val="12"/>
        <rFont val="Calibri"/>
        <family val="2"/>
      </rPr>
      <t xml:space="preserve">
</t>
    </r>
    <r>
      <rPr>
        <b/>
        <sz val="12"/>
        <rFont val="Calibri"/>
        <family val="2"/>
      </rPr>
      <t>IA.L2-3.5.4</t>
    </r>
    <r>
      <rPr>
        <sz val="12"/>
        <rFont val="Calibri"/>
        <family val="2"/>
      </rPr>
      <t xml:space="preserve">
</t>
    </r>
    <r>
      <rPr>
        <i/>
        <sz val="12"/>
        <rFont val="Calibri"/>
        <family val="2"/>
      </rPr>
      <t>Replay-Resistant Authentication</t>
    </r>
    <r>
      <rPr>
        <sz val="12"/>
        <rFont val="Calibri"/>
        <family val="2"/>
      </rPr>
      <t xml:space="preserve">
Employ replay-resistant authentication mechanisms for network access to privileged and non-privileged accounts.
• NIST SP 800-171 Rev 2 3.5.4</t>
    </r>
  </si>
  <si>
    <r>
      <rPr>
        <sz val="12"/>
        <color rgb="FFFF0000"/>
        <rFont val="Calibri"/>
        <family val="2"/>
      </rPr>
      <t>IA.3.085</t>
    </r>
    <r>
      <rPr>
        <sz val="12"/>
        <rFont val="Calibri"/>
        <family val="2"/>
      </rPr>
      <t xml:space="preserve">
</t>
    </r>
    <r>
      <rPr>
        <b/>
        <sz val="12"/>
        <rFont val="Calibri"/>
        <family val="2"/>
      </rPr>
      <t>IA.L2-3.5.5</t>
    </r>
    <r>
      <rPr>
        <sz val="12"/>
        <rFont val="Calibri"/>
        <family val="2"/>
      </rPr>
      <t xml:space="preserve">
</t>
    </r>
    <r>
      <rPr>
        <i/>
        <sz val="12"/>
        <rFont val="Calibri"/>
        <family val="2"/>
      </rPr>
      <t>Identifier Reuse</t>
    </r>
    <r>
      <rPr>
        <sz val="12"/>
        <rFont val="Calibri"/>
        <family val="2"/>
      </rPr>
      <t xml:space="preserve">
Prevent reuse of identifiers for a defined period. 
• NIST SP 800-171 Rev 2 3.5.5</t>
    </r>
  </si>
  <si>
    <r>
      <rPr>
        <sz val="12"/>
        <color rgb="FFFF0000"/>
        <rFont val="Calibri"/>
        <family val="2"/>
      </rPr>
      <t>IA.3.086</t>
    </r>
    <r>
      <rPr>
        <sz val="12"/>
        <rFont val="Calibri"/>
        <family val="2"/>
      </rPr>
      <t xml:space="preserve">
</t>
    </r>
    <r>
      <rPr>
        <b/>
        <sz val="12"/>
        <rFont val="Calibri"/>
        <family val="2"/>
      </rPr>
      <t>IA.L2-3.5.6</t>
    </r>
    <r>
      <rPr>
        <sz val="12"/>
        <rFont val="Calibri"/>
        <family val="2"/>
      </rPr>
      <t xml:space="preserve">
</t>
    </r>
    <r>
      <rPr>
        <i/>
        <sz val="12"/>
        <rFont val="Calibri"/>
        <family val="2"/>
      </rPr>
      <t>Identifier Handling</t>
    </r>
    <r>
      <rPr>
        <sz val="12"/>
        <rFont val="Calibri"/>
        <family val="2"/>
      </rPr>
      <t xml:space="preserve">
Disable identifiers after a defined period of inactivity. 
• NIST SP 800-171 Rev 2 3.5.6</t>
    </r>
  </si>
  <si>
    <r>
      <rPr>
        <sz val="12"/>
        <color rgb="FFFF0000"/>
        <rFont val="Calibri"/>
        <family val="2"/>
      </rPr>
      <t>IA.2.078</t>
    </r>
    <r>
      <rPr>
        <sz val="12"/>
        <rFont val="Calibri"/>
        <family val="2"/>
      </rPr>
      <t xml:space="preserve">
</t>
    </r>
    <r>
      <rPr>
        <b/>
        <sz val="12"/>
        <rFont val="Calibri"/>
        <family val="2"/>
      </rPr>
      <t>IA.L2-3.5.7</t>
    </r>
    <r>
      <rPr>
        <sz val="12"/>
        <rFont val="Calibri"/>
        <family val="2"/>
      </rPr>
      <t xml:space="preserve">
</t>
    </r>
    <r>
      <rPr>
        <i/>
        <sz val="12"/>
        <rFont val="Calibri"/>
        <family val="2"/>
      </rPr>
      <t>Password Complexity</t>
    </r>
    <r>
      <rPr>
        <sz val="12"/>
        <rFont val="Calibri"/>
        <family val="2"/>
      </rPr>
      <t xml:space="preserve">
Enforce a minimum password complexity and change of characters when new passwords are created.
• NIST SP 800-171 Rev 2 3.5.7</t>
    </r>
  </si>
  <si>
    <r>
      <rPr>
        <sz val="12"/>
        <color rgb="FFFF0000"/>
        <rFont val="Calibri"/>
        <family val="2"/>
      </rPr>
      <t>IA.2.079</t>
    </r>
    <r>
      <rPr>
        <sz val="12"/>
        <rFont val="Calibri"/>
        <family val="2"/>
      </rPr>
      <t xml:space="preserve">
</t>
    </r>
    <r>
      <rPr>
        <b/>
        <sz val="12"/>
        <rFont val="Calibri"/>
        <family val="2"/>
      </rPr>
      <t>IA.L2-3.5.8</t>
    </r>
    <r>
      <rPr>
        <sz val="12"/>
        <rFont val="Calibri"/>
        <family val="2"/>
      </rPr>
      <t xml:space="preserve">
</t>
    </r>
    <r>
      <rPr>
        <i/>
        <sz val="12"/>
        <rFont val="Calibri"/>
        <family val="2"/>
      </rPr>
      <t>Password Reuse</t>
    </r>
    <r>
      <rPr>
        <sz val="12"/>
        <rFont val="Calibri"/>
        <family val="2"/>
      </rPr>
      <t xml:space="preserve">
Prohibit password reuse for a specified number of generations.
• NIST SP 800-171 Rev 2 3.5.8
</t>
    </r>
  </si>
  <si>
    <r>
      <rPr>
        <sz val="12"/>
        <color rgb="FFFF0000"/>
        <rFont val="Calibri"/>
        <family val="2"/>
      </rPr>
      <t>IA.2.080</t>
    </r>
    <r>
      <rPr>
        <sz val="12"/>
        <rFont val="Calibri"/>
        <family val="2"/>
      </rPr>
      <t xml:space="preserve">
</t>
    </r>
    <r>
      <rPr>
        <b/>
        <sz val="12"/>
        <rFont val="Calibri"/>
        <family val="2"/>
      </rPr>
      <t>IA.L2-3.5.9</t>
    </r>
    <r>
      <rPr>
        <sz val="12"/>
        <rFont val="Calibri"/>
        <family val="2"/>
      </rPr>
      <t xml:space="preserve">
</t>
    </r>
    <r>
      <rPr>
        <i/>
        <sz val="12"/>
        <rFont val="Calibri"/>
        <family val="2"/>
      </rPr>
      <t>Temporary Passwords</t>
    </r>
    <r>
      <rPr>
        <sz val="12"/>
        <rFont val="Calibri"/>
        <family val="2"/>
      </rPr>
      <t xml:space="preserve">
Allow temporary password use for system logons with an immediate change to a permanent password. 
• NIST SP 800-171 Rev 2 3.5.9</t>
    </r>
  </si>
  <si>
    <r>
      <rPr>
        <sz val="12"/>
        <color rgb="FFFF0000"/>
        <rFont val="Calibri"/>
        <family val="2"/>
      </rPr>
      <t>IA.2.081</t>
    </r>
    <r>
      <rPr>
        <sz val="12"/>
        <rFont val="Calibri"/>
        <family val="2"/>
      </rPr>
      <t xml:space="preserve">
</t>
    </r>
    <r>
      <rPr>
        <b/>
        <sz val="12"/>
        <rFont val="Calibri"/>
        <family val="2"/>
      </rPr>
      <t>IA.L2-3.5.10</t>
    </r>
    <r>
      <rPr>
        <sz val="12"/>
        <rFont val="Calibri"/>
        <family val="2"/>
      </rPr>
      <t xml:space="preserve">
</t>
    </r>
    <r>
      <rPr>
        <i/>
        <sz val="12"/>
        <rFont val="Calibri"/>
        <family val="2"/>
      </rPr>
      <t>Cryptographically-Protected Passwords</t>
    </r>
    <r>
      <rPr>
        <sz val="12"/>
        <rFont val="Calibri"/>
        <family val="2"/>
      </rPr>
      <t xml:space="preserve">
Store and transmit only cryptographically-protected passwords. 
• NIST SP 800-171 Rev 2 3.5.10</t>
    </r>
  </si>
  <si>
    <r>
      <rPr>
        <sz val="12"/>
        <color rgb="FFFF0000"/>
        <rFont val="Calibri"/>
        <family val="2"/>
      </rPr>
      <t>IA.2.082</t>
    </r>
    <r>
      <rPr>
        <sz val="12"/>
        <rFont val="Calibri"/>
        <family val="2"/>
      </rPr>
      <t xml:space="preserve">
</t>
    </r>
    <r>
      <rPr>
        <b/>
        <sz val="12"/>
        <rFont val="Calibri"/>
        <family val="2"/>
      </rPr>
      <t>IA.L2-3.5.11</t>
    </r>
    <r>
      <rPr>
        <sz val="12"/>
        <rFont val="Calibri"/>
        <family val="2"/>
      </rPr>
      <t xml:space="preserve">
</t>
    </r>
    <r>
      <rPr>
        <i/>
        <sz val="12"/>
        <rFont val="Calibri"/>
        <family val="2"/>
      </rPr>
      <t>Obscure Feedback</t>
    </r>
    <r>
      <rPr>
        <sz val="12"/>
        <rFont val="Calibri"/>
        <family val="2"/>
      </rPr>
      <t xml:space="preserve">
Obscure feedback of authentication information. 
• NIST SP 800-171 Rev 2 3.5.11</t>
    </r>
  </si>
  <si>
    <r>
      <rPr>
        <sz val="12"/>
        <color rgb="FFFF0000"/>
        <rFont val="Calibri"/>
        <family val="2"/>
      </rPr>
      <t>IR.2.092</t>
    </r>
    <r>
      <rPr>
        <sz val="12"/>
        <rFont val="Calibri"/>
        <family val="2"/>
      </rPr>
      <t xml:space="preserve">
</t>
    </r>
    <r>
      <rPr>
        <b/>
        <sz val="12"/>
        <rFont val="Calibri"/>
        <family val="2"/>
      </rPr>
      <t>IR.L2-3.6.1</t>
    </r>
    <r>
      <rPr>
        <sz val="12"/>
        <rFont val="Calibri"/>
        <family val="2"/>
      </rPr>
      <t xml:space="preserve">
</t>
    </r>
    <r>
      <rPr>
        <i/>
        <sz val="12"/>
        <rFont val="Calibri"/>
        <family val="2"/>
      </rPr>
      <t>Incident Handling</t>
    </r>
    <r>
      <rPr>
        <sz val="12"/>
        <rFont val="Calibri"/>
        <family val="2"/>
      </rPr>
      <t xml:space="preserve">
Establish an operational incident-handling capability for organizational systems that includes preparation, detection, analysis, containment, recovery, and user response activities.
• NIST SP 800-171 Rev 2 3.6.1</t>
    </r>
  </si>
  <si>
    <r>
      <rPr>
        <sz val="12"/>
        <color rgb="FFFF0000"/>
        <rFont val="Calibri"/>
        <family val="2"/>
      </rPr>
      <t>IR.3.098</t>
    </r>
    <r>
      <rPr>
        <sz val="12"/>
        <rFont val="Calibri"/>
        <family val="2"/>
      </rPr>
      <t xml:space="preserve">
</t>
    </r>
    <r>
      <rPr>
        <b/>
        <sz val="12"/>
        <rFont val="Calibri"/>
        <family val="2"/>
      </rPr>
      <t>IR.L2-3.6.2</t>
    </r>
    <r>
      <rPr>
        <sz val="12"/>
        <rFont val="Calibri"/>
        <family val="2"/>
      </rPr>
      <t xml:space="preserve">
</t>
    </r>
    <r>
      <rPr>
        <i/>
        <sz val="12"/>
        <rFont val="Calibri"/>
        <family val="2"/>
      </rPr>
      <t>Incident Reporting</t>
    </r>
    <r>
      <rPr>
        <sz val="12"/>
        <rFont val="Calibri"/>
        <family val="2"/>
      </rPr>
      <t xml:space="preserve">
Track, document, and report incidents to designated officials and/or authorities both internal and external to the organization.
• NIST SP 800-171 Rev 2 3.6.2</t>
    </r>
  </si>
  <si>
    <r>
      <rPr>
        <sz val="12"/>
        <color rgb="FFFF0000"/>
        <rFont val="Calibri"/>
        <family val="2"/>
      </rPr>
      <t>IR.3.099</t>
    </r>
    <r>
      <rPr>
        <sz val="12"/>
        <rFont val="Calibri"/>
        <family val="2"/>
      </rPr>
      <t xml:space="preserve">
</t>
    </r>
    <r>
      <rPr>
        <b/>
        <sz val="12"/>
        <rFont val="Calibri"/>
        <family val="2"/>
      </rPr>
      <t>IR.L2-3.6.3</t>
    </r>
    <r>
      <rPr>
        <sz val="12"/>
        <rFont val="Calibri"/>
        <family val="2"/>
      </rPr>
      <t xml:space="preserve">
</t>
    </r>
    <r>
      <rPr>
        <i/>
        <sz val="12"/>
        <rFont val="Calibri"/>
        <family val="2"/>
      </rPr>
      <t>Incident Response Testing</t>
    </r>
    <r>
      <rPr>
        <sz val="12"/>
        <rFont val="Calibri"/>
        <family val="2"/>
      </rPr>
      <t xml:space="preserve">
Test the organizational incident response capability.
• NIST SP 800-171 Rev 2 3.6.3</t>
    </r>
  </si>
  <si>
    <r>
      <rPr>
        <sz val="12"/>
        <color rgb="FFFF0000"/>
        <rFont val="Calibri"/>
        <family val="2"/>
      </rPr>
      <t>MA.2.111</t>
    </r>
    <r>
      <rPr>
        <sz val="12"/>
        <rFont val="Calibri"/>
        <family val="2"/>
      </rPr>
      <t xml:space="preserve">
</t>
    </r>
    <r>
      <rPr>
        <b/>
        <sz val="12"/>
        <rFont val="Calibri"/>
        <family val="2"/>
      </rPr>
      <t>MA.L2-3.7.1</t>
    </r>
    <r>
      <rPr>
        <sz val="12"/>
        <rFont val="Calibri"/>
        <family val="2"/>
      </rPr>
      <t xml:space="preserve">
</t>
    </r>
    <r>
      <rPr>
        <i/>
        <sz val="12"/>
        <rFont val="Calibri"/>
        <family val="2"/>
      </rPr>
      <t>Perform Maintenance</t>
    </r>
    <r>
      <rPr>
        <sz val="12"/>
        <rFont val="Calibri"/>
        <family val="2"/>
      </rPr>
      <t xml:space="preserve">
Perform maintenance on organizational systems.
• NIST SP 800-171 Rev 2 3.7.1</t>
    </r>
  </si>
  <si>
    <r>
      <rPr>
        <sz val="12"/>
        <color rgb="FFFF0000"/>
        <rFont val="Calibri"/>
        <family val="2"/>
      </rPr>
      <t>MA.2.112</t>
    </r>
    <r>
      <rPr>
        <sz val="12"/>
        <rFont val="Calibri"/>
        <family val="2"/>
      </rPr>
      <t xml:space="preserve">
</t>
    </r>
    <r>
      <rPr>
        <b/>
        <sz val="12"/>
        <rFont val="Calibri"/>
        <family val="2"/>
      </rPr>
      <t>MA.L2-3.7.2</t>
    </r>
    <r>
      <rPr>
        <sz val="12"/>
        <rFont val="Calibri"/>
        <family val="2"/>
      </rPr>
      <t xml:space="preserve">
</t>
    </r>
    <r>
      <rPr>
        <i/>
        <sz val="12"/>
        <rFont val="Calibri"/>
        <family val="2"/>
      </rPr>
      <t>System Maintenance Control</t>
    </r>
    <r>
      <rPr>
        <sz val="12"/>
        <rFont val="Calibri"/>
        <family val="2"/>
      </rPr>
      <t xml:space="preserve">
Provide controls on the tools, techniques, mechanisms, and personnel used to conduct system maintenance.
• NIST SP 800-171 Rev 2 3.7.2</t>
    </r>
  </si>
  <si>
    <r>
      <rPr>
        <sz val="12"/>
        <color rgb="FFFF0000"/>
        <rFont val="Calibri"/>
        <family val="2"/>
      </rPr>
      <t>MA.3.115</t>
    </r>
    <r>
      <rPr>
        <sz val="12"/>
        <rFont val="Calibri"/>
        <family val="2"/>
      </rPr>
      <t xml:space="preserve">
</t>
    </r>
    <r>
      <rPr>
        <b/>
        <sz val="12"/>
        <rFont val="Calibri"/>
        <family val="2"/>
      </rPr>
      <t>MA.L2-3.7.3</t>
    </r>
    <r>
      <rPr>
        <sz val="12"/>
        <rFont val="Calibri"/>
        <family val="2"/>
      </rPr>
      <t xml:space="preserve">
</t>
    </r>
    <r>
      <rPr>
        <i/>
        <sz val="12"/>
        <rFont val="Calibri"/>
        <family val="2"/>
      </rPr>
      <t>Equipment Sanitization</t>
    </r>
    <r>
      <rPr>
        <sz val="12"/>
        <rFont val="Calibri"/>
        <family val="2"/>
      </rPr>
      <t xml:space="preserve">
Ensure equipment removed for off-site maintenance is sanitized of any CUI. 
• NIST SP 800-171 Rev 2 3.7.3</t>
    </r>
  </si>
  <si>
    <r>
      <rPr>
        <sz val="12"/>
        <color rgb="FFFF0000"/>
        <rFont val="Calibri"/>
        <family val="2"/>
      </rPr>
      <t>MA.3.116</t>
    </r>
    <r>
      <rPr>
        <sz val="12"/>
        <rFont val="Calibri"/>
        <family val="2"/>
      </rPr>
      <t xml:space="preserve">
</t>
    </r>
    <r>
      <rPr>
        <b/>
        <sz val="12"/>
        <rFont val="Calibri"/>
        <family val="2"/>
      </rPr>
      <t>MA.L2-3.7.4</t>
    </r>
    <r>
      <rPr>
        <sz val="12"/>
        <rFont val="Calibri"/>
        <family val="2"/>
      </rPr>
      <t xml:space="preserve">
</t>
    </r>
    <r>
      <rPr>
        <i/>
        <sz val="12"/>
        <rFont val="Calibri"/>
        <family val="2"/>
      </rPr>
      <t>Media Inspection</t>
    </r>
    <r>
      <rPr>
        <sz val="12"/>
        <rFont val="Calibri"/>
        <family val="2"/>
      </rPr>
      <t xml:space="preserve">
Check media containing diagnostic and test programs for malicious code before the media are used in organizational systems. 
• NIST SP 800-171 Rev 2 3.7.4</t>
    </r>
  </si>
  <si>
    <r>
      <rPr>
        <sz val="12"/>
        <color rgb="FFFF0000"/>
        <rFont val="Calibri"/>
        <family val="2"/>
      </rPr>
      <t>MA.2.113</t>
    </r>
    <r>
      <rPr>
        <sz val="12"/>
        <rFont val="Calibri"/>
        <family val="2"/>
      </rPr>
      <t xml:space="preserve">
</t>
    </r>
    <r>
      <rPr>
        <b/>
        <sz val="12"/>
        <rFont val="Calibri"/>
        <family val="2"/>
      </rPr>
      <t>MA.L2-3.7.5</t>
    </r>
    <r>
      <rPr>
        <sz val="12"/>
        <rFont val="Calibri"/>
        <family val="2"/>
      </rPr>
      <t xml:space="preserve">
</t>
    </r>
    <r>
      <rPr>
        <i/>
        <sz val="12"/>
        <rFont val="Calibri"/>
        <family val="2"/>
      </rPr>
      <t>Nonlocal Maintenance</t>
    </r>
    <r>
      <rPr>
        <sz val="12"/>
        <rFont val="Calibri"/>
        <family val="2"/>
      </rPr>
      <t xml:space="preserve">
Require multifactor authentication to establish nonlocal maintenance sessions via external network connections and terminate such connections when nonlocal maintenance is complete.
• NIST SP 800-171 Rev 2 3.7.5</t>
    </r>
  </si>
  <si>
    <r>
      <rPr>
        <sz val="12"/>
        <color rgb="FFFF0000"/>
        <rFont val="Calibri"/>
        <family val="2"/>
      </rPr>
      <t>MA.2.114</t>
    </r>
    <r>
      <rPr>
        <sz val="12"/>
        <rFont val="Calibri"/>
        <family val="2"/>
      </rPr>
      <t xml:space="preserve">
</t>
    </r>
    <r>
      <rPr>
        <b/>
        <sz val="12"/>
        <rFont val="Calibri"/>
        <family val="2"/>
      </rPr>
      <t>MA.L2-3.7.6</t>
    </r>
    <r>
      <rPr>
        <sz val="12"/>
        <rFont val="Calibri"/>
        <family val="2"/>
      </rPr>
      <t xml:space="preserve">
</t>
    </r>
    <r>
      <rPr>
        <i/>
        <sz val="12"/>
        <rFont val="Calibri"/>
        <family val="2"/>
      </rPr>
      <t>Maintenance Personnel</t>
    </r>
    <r>
      <rPr>
        <sz val="12"/>
        <rFont val="Calibri"/>
        <family val="2"/>
      </rPr>
      <t xml:space="preserve">
Supervise the maintenance activities of maintenance personnel without required access authorization. 
• NIST SP 800-171 Rev 2 3.7.6</t>
    </r>
  </si>
  <si>
    <r>
      <rPr>
        <sz val="12"/>
        <color rgb="FFFF0000"/>
        <rFont val="Calibri"/>
        <family val="2"/>
      </rPr>
      <t>MP.1.118</t>
    </r>
    <r>
      <rPr>
        <sz val="12"/>
        <rFont val="Calibri"/>
        <family val="2"/>
      </rPr>
      <t xml:space="preserve">
</t>
    </r>
    <r>
      <rPr>
        <b/>
        <sz val="12"/>
        <rFont val="Calibri"/>
        <family val="2"/>
      </rPr>
      <t>MP.L1-3.8.3</t>
    </r>
    <r>
      <rPr>
        <sz val="12"/>
        <rFont val="Calibri"/>
        <family val="2"/>
      </rPr>
      <t xml:space="preserve">
</t>
    </r>
    <r>
      <rPr>
        <i/>
        <sz val="12"/>
        <rFont val="Calibri"/>
        <family val="2"/>
      </rPr>
      <t>Media Disposal</t>
    </r>
    <r>
      <rPr>
        <sz val="12"/>
        <rFont val="Calibri"/>
        <family val="2"/>
      </rPr>
      <t xml:space="preserve">
Sanitize or destroy information system media containing Federal Contract Information before disposal or release for reuse.
• FAR Clause 52.204-21 b.1.vii
• NIST SP 800-171 Rev 2 3.8.3</t>
    </r>
  </si>
  <si>
    <r>
      <rPr>
        <sz val="12"/>
        <color rgb="FFFF0000"/>
        <rFont val="Calibri"/>
        <family val="2"/>
      </rPr>
      <t>MP.2.119</t>
    </r>
    <r>
      <rPr>
        <sz val="12"/>
        <rFont val="Calibri"/>
        <family val="2"/>
      </rPr>
      <t xml:space="preserve">
</t>
    </r>
    <r>
      <rPr>
        <b/>
        <sz val="12"/>
        <rFont val="Calibri"/>
        <family val="2"/>
      </rPr>
      <t>MP.L2-3.8.1</t>
    </r>
    <r>
      <rPr>
        <sz val="12"/>
        <rFont val="Calibri"/>
        <family val="2"/>
      </rPr>
      <t xml:space="preserve">
</t>
    </r>
    <r>
      <rPr>
        <i/>
        <sz val="12"/>
        <rFont val="Calibri"/>
        <family val="2"/>
      </rPr>
      <t>Media Protection</t>
    </r>
    <r>
      <rPr>
        <sz val="12"/>
        <rFont val="Calibri"/>
        <family val="2"/>
      </rPr>
      <t xml:space="preserve">
Protect (i.e., physically control and securely store) system media containing CUI, both paper and digital. 
• NIST SP 800-171 Rev 2 3.8.1</t>
    </r>
  </si>
  <si>
    <r>
      <rPr>
        <sz val="12"/>
        <color rgb="FFFF0000"/>
        <rFont val="Calibri"/>
        <family val="2"/>
      </rPr>
      <t>MP.2.120</t>
    </r>
    <r>
      <rPr>
        <sz val="12"/>
        <rFont val="Calibri"/>
        <family val="2"/>
      </rPr>
      <t xml:space="preserve">
</t>
    </r>
    <r>
      <rPr>
        <b/>
        <sz val="12"/>
        <rFont val="Calibri"/>
        <family val="2"/>
      </rPr>
      <t>MP.L2-3.8.2</t>
    </r>
    <r>
      <rPr>
        <sz val="12"/>
        <rFont val="Calibri"/>
        <family val="2"/>
      </rPr>
      <t xml:space="preserve">
</t>
    </r>
    <r>
      <rPr>
        <i/>
        <sz val="12"/>
        <rFont val="Calibri"/>
        <family val="2"/>
      </rPr>
      <t>Media Access</t>
    </r>
    <r>
      <rPr>
        <sz val="12"/>
        <rFont val="Calibri"/>
        <family val="2"/>
      </rPr>
      <t xml:space="preserve">
Limit access to CUI on system media to authorized users.
• NIST SP 800-171 Rev 2 3.8.2</t>
    </r>
  </si>
  <si>
    <r>
      <rPr>
        <sz val="12"/>
        <color rgb="FFFF0000"/>
        <rFont val="Calibri"/>
        <family val="2"/>
      </rPr>
      <t>MP.3.122</t>
    </r>
    <r>
      <rPr>
        <sz val="12"/>
        <rFont val="Calibri"/>
        <family val="2"/>
      </rPr>
      <t xml:space="preserve">
</t>
    </r>
    <r>
      <rPr>
        <b/>
        <sz val="12"/>
        <rFont val="Calibri"/>
        <family val="2"/>
      </rPr>
      <t>MP.L2-3.8.4</t>
    </r>
    <r>
      <rPr>
        <sz val="12"/>
        <rFont val="Calibri"/>
        <family val="2"/>
      </rPr>
      <t xml:space="preserve">
</t>
    </r>
    <r>
      <rPr>
        <i/>
        <sz val="12"/>
        <rFont val="Calibri"/>
        <family val="2"/>
      </rPr>
      <t>Media Markings</t>
    </r>
    <r>
      <rPr>
        <sz val="12"/>
        <rFont val="Calibri"/>
        <family val="2"/>
      </rPr>
      <t xml:space="preserve">
Mark media with necessary CUI markings and distribution limitations.
• NIST SP 800-171 Rev 2 3.8.4</t>
    </r>
  </si>
  <si>
    <r>
      <rPr>
        <sz val="12"/>
        <color rgb="FFFF0000"/>
        <rFont val="Calibri"/>
        <family val="2"/>
      </rPr>
      <t>MP.3.124</t>
    </r>
    <r>
      <rPr>
        <sz val="12"/>
        <rFont val="Calibri"/>
        <family val="2"/>
      </rPr>
      <t xml:space="preserve">
</t>
    </r>
    <r>
      <rPr>
        <b/>
        <sz val="12"/>
        <rFont val="Calibri"/>
        <family val="2"/>
      </rPr>
      <t>MP.L2-3.8.5</t>
    </r>
    <r>
      <rPr>
        <sz val="12"/>
        <rFont val="Calibri"/>
        <family val="2"/>
      </rPr>
      <t xml:space="preserve">
</t>
    </r>
    <r>
      <rPr>
        <i/>
        <sz val="12"/>
        <rFont val="Calibri"/>
        <family val="2"/>
      </rPr>
      <t>Media Accountability</t>
    </r>
    <r>
      <rPr>
        <sz val="12"/>
        <rFont val="Calibri"/>
        <family val="2"/>
      </rPr>
      <t xml:space="preserve">
Control access to media containing CUI and maintain accountability for media during transport outside of controlled areas. 
• NIST SP 800-171 Rev 2 3.8.5</t>
    </r>
  </si>
  <si>
    <r>
      <rPr>
        <sz val="12"/>
        <color rgb="FFFF0000"/>
        <rFont val="Calibri"/>
        <family val="2"/>
      </rPr>
      <t>MP.3.125</t>
    </r>
    <r>
      <rPr>
        <sz val="12"/>
        <rFont val="Calibri"/>
        <family val="2"/>
      </rPr>
      <t xml:space="preserve">
</t>
    </r>
    <r>
      <rPr>
        <b/>
        <sz val="12"/>
        <rFont val="Calibri"/>
        <family val="2"/>
      </rPr>
      <t>MP.L2-3.8.6</t>
    </r>
    <r>
      <rPr>
        <sz val="12"/>
        <rFont val="Calibri"/>
        <family val="2"/>
      </rPr>
      <t xml:space="preserve">
</t>
    </r>
    <r>
      <rPr>
        <i/>
        <sz val="12"/>
        <rFont val="Calibri"/>
        <family val="2"/>
      </rPr>
      <t>Portable Storage Encryption</t>
    </r>
    <r>
      <rPr>
        <sz val="12"/>
        <rFont val="Calibri"/>
        <family val="2"/>
      </rPr>
      <t xml:space="preserve">
Implement cryptographic mechanisms to protect the confidentiality of CUI stored on digital media during transport unless otherwise protected by alternative physical safeguards. 
• NIST SP 800-171 Rev 2 3.8.6</t>
    </r>
  </si>
  <si>
    <r>
      <rPr>
        <sz val="12"/>
        <color rgb="FFFF0000"/>
        <rFont val="Calibri"/>
        <family val="2"/>
      </rPr>
      <t>MP.2.121</t>
    </r>
    <r>
      <rPr>
        <sz val="12"/>
        <rFont val="Calibri"/>
        <family val="2"/>
      </rPr>
      <t xml:space="preserve">
</t>
    </r>
    <r>
      <rPr>
        <b/>
        <sz val="12"/>
        <rFont val="Calibri"/>
        <family val="2"/>
      </rPr>
      <t>MP.L2-3.8.7</t>
    </r>
    <r>
      <rPr>
        <sz val="12"/>
        <rFont val="Calibri"/>
        <family val="2"/>
      </rPr>
      <t xml:space="preserve">
</t>
    </r>
    <r>
      <rPr>
        <i/>
        <sz val="12"/>
        <rFont val="Calibri"/>
        <family val="2"/>
      </rPr>
      <t>Removable Media</t>
    </r>
    <r>
      <rPr>
        <sz val="12"/>
        <rFont val="Calibri"/>
        <family val="2"/>
      </rPr>
      <t xml:space="preserve">
Control the use of removable media on system components.
• NIST SP 800-171 Rev 2 3.8.7</t>
    </r>
  </si>
  <si>
    <r>
      <rPr>
        <sz val="12"/>
        <color rgb="FFFF0000"/>
        <rFont val="Calibri"/>
        <family val="2"/>
      </rPr>
      <t>MP.3.123</t>
    </r>
    <r>
      <rPr>
        <sz val="12"/>
        <rFont val="Calibri"/>
        <family val="2"/>
      </rPr>
      <t xml:space="preserve">
</t>
    </r>
    <r>
      <rPr>
        <b/>
        <sz val="12"/>
        <rFont val="Calibri"/>
        <family val="2"/>
      </rPr>
      <t>MP.L2-3.8.8</t>
    </r>
    <r>
      <rPr>
        <sz val="12"/>
        <rFont val="Calibri"/>
        <family val="2"/>
      </rPr>
      <t xml:space="preserve">
</t>
    </r>
    <r>
      <rPr>
        <i/>
        <sz val="12"/>
        <rFont val="Calibri"/>
        <family val="2"/>
      </rPr>
      <t>Shared Media</t>
    </r>
    <r>
      <rPr>
        <sz val="12"/>
        <rFont val="Calibri"/>
        <family val="2"/>
      </rPr>
      <t xml:space="preserve">
Prohibit the use of portable storage devices when such devices have no identifiable owner.
• NIST SP 800-171 Rev 2 3.8.8</t>
    </r>
  </si>
  <si>
    <r>
      <rPr>
        <sz val="12"/>
        <color rgb="FFFF0000"/>
        <rFont val="Calibri"/>
        <family val="2"/>
      </rPr>
      <t>RE.2.138</t>
    </r>
    <r>
      <rPr>
        <sz val="12"/>
        <rFont val="Calibri"/>
        <family val="2"/>
      </rPr>
      <t xml:space="preserve">
</t>
    </r>
    <r>
      <rPr>
        <b/>
        <sz val="12"/>
        <rFont val="Calibri"/>
        <family val="2"/>
      </rPr>
      <t>MP.L2-3.8.9</t>
    </r>
    <r>
      <rPr>
        <sz val="12"/>
        <rFont val="Calibri"/>
        <family val="2"/>
      </rPr>
      <t xml:space="preserve">
</t>
    </r>
    <r>
      <rPr>
        <i/>
        <sz val="12"/>
        <rFont val="Calibri"/>
        <family val="2"/>
      </rPr>
      <t>Protect Backups</t>
    </r>
    <r>
      <rPr>
        <sz val="12"/>
        <rFont val="Calibri"/>
        <family val="2"/>
      </rPr>
      <t xml:space="preserve">
Protect the confidentiality of backup CUI at storage locations. 
• NIST SP 800-171 Rev 2 3.8.9</t>
    </r>
  </si>
  <si>
    <r>
      <rPr>
        <sz val="12"/>
        <color rgb="FFFF0000"/>
        <rFont val="Calibri"/>
        <family val="2"/>
      </rPr>
      <t>PS.2.127</t>
    </r>
    <r>
      <rPr>
        <sz val="12"/>
        <rFont val="Calibri"/>
        <family val="2"/>
      </rPr>
      <t xml:space="preserve">
</t>
    </r>
    <r>
      <rPr>
        <b/>
        <sz val="12"/>
        <rFont val="Calibri"/>
        <family val="2"/>
      </rPr>
      <t>PS.L2-3.9.1</t>
    </r>
    <r>
      <rPr>
        <sz val="12"/>
        <rFont val="Calibri"/>
        <family val="2"/>
      </rPr>
      <t xml:space="preserve">
</t>
    </r>
    <r>
      <rPr>
        <i/>
        <sz val="12"/>
        <rFont val="Calibri"/>
        <family val="2"/>
      </rPr>
      <t>Screen Individuals</t>
    </r>
    <r>
      <rPr>
        <sz val="12"/>
        <rFont val="Calibri"/>
        <family val="2"/>
      </rPr>
      <t xml:space="preserve">
Screen individuals prior to authorizing access to organizational systems containing CUI.
• NIST SP 800-171 Rev 2 3.9.1</t>
    </r>
  </si>
  <si>
    <r>
      <rPr>
        <sz val="12"/>
        <color rgb="FFFF0000"/>
        <rFont val="Calibri"/>
        <family val="2"/>
      </rPr>
      <t>PS.2.128</t>
    </r>
    <r>
      <rPr>
        <sz val="12"/>
        <rFont val="Calibri"/>
        <family val="2"/>
      </rPr>
      <t xml:space="preserve">
</t>
    </r>
    <r>
      <rPr>
        <b/>
        <sz val="12"/>
        <rFont val="Calibri"/>
        <family val="2"/>
      </rPr>
      <t>PS.L2-3.9.2</t>
    </r>
    <r>
      <rPr>
        <sz val="12"/>
        <rFont val="Calibri"/>
        <family val="2"/>
      </rPr>
      <t xml:space="preserve">
</t>
    </r>
    <r>
      <rPr>
        <i/>
        <sz val="12"/>
        <rFont val="Calibri"/>
        <family val="2"/>
      </rPr>
      <t>Personnel Actions</t>
    </r>
    <r>
      <rPr>
        <sz val="12"/>
        <rFont val="Calibri"/>
        <family val="2"/>
      </rPr>
      <t xml:space="preserve">
Ensure that organizational systems containing CUI are protected during and after personnel actions such as terminations and transfers.
• NIST SP 800-171 Rev 2 3.9.2
</t>
    </r>
  </si>
  <si>
    <r>
      <rPr>
        <sz val="12"/>
        <color rgb="FFFF0000"/>
        <rFont val="Calibri"/>
        <family val="2"/>
      </rPr>
      <t>PE.1.131</t>
    </r>
    <r>
      <rPr>
        <sz val="12"/>
        <rFont val="Calibri"/>
        <family val="2"/>
      </rPr>
      <t xml:space="preserve">
</t>
    </r>
    <r>
      <rPr>
        <b/>
        <sz val="12"/>
        <rFont val="Calibri"/>
        <family val="2"/>
      </rPr>
      <t>PE.L1-3.10.1</t>
    </r>
    <r>
      <rPr>
        <sz val="12"/>
        <rFont val="Calibri"/>
        <family val="2"/>
      </rPr>
      <t xml:space="preserve">
</t>
    </r>
    <r>
      <rPr>
        <i/>
        <sz val="12"/>
        <rFont val="Calibri"/>
        <family val="2"/>
      </rPr>
      <t>Limit Physical Access</t>
    </r>
    <r>
      <rPr>
        <sz val="12"/>
        <rFont val="Calibri"/>
        <family val="2"/>
      </rPr>
      <t xml:space="preserve">
Limit physical access to organizational information systems, equipment, and the respective operating environments to authorized individuals. 
• FAR Clause 52.204-21 b.1.viii
• NIST SP 800-171 Rev 2 3.10.1</t>
    </r>
  </si>
  <si>
    <r>
      <rPr>
        <sz val="12"/>
        <color rgb="FFFF0000"/>
        <rFont val="Calibri"/>
        <family val="2"/>
      </rPr>
      <t>PE.2.135</t>
    </r>
    <r>
      <rPr>
        <sz val="12"/>
        <rFont val="Calibri"/>
        <family val="2"/>
      </rPr>
      <t xml:space="preserve">
</t>
    </r>
    <r>
      <rPr>
        <b/>
        <sz val="12"/>
        <rFont val="Calibri"/>
        <family val="2"/>
      </rPr>
      <t>PE.L2-3.10.2</t>
    </r>
    <r>
      <rPr>
        <sz val="12"/>
        <rFont val="Calibri"/>
        <family val="2"/>
      </rPr>
      <t xml:space="preserve">
</t>
    </r>
    <r>
      <rPr>
        <i/>
        <sz val="12"/>
        <rFont val="Calibri"/>
        <family val="2"/>
      </rPr>
      <t>Monitor Facility</t>
    </r>
    <r>
      <rPr>
        <sz val="12"/>
        <rFont val="Calibri"/>
        <family val="2"/>
      </rPr>
      <t xml:space="preserve">
Protect and monitor the physical facility and support infrastructure for organizational systems.
• NIST SP 800-171 Rev 2 3.10.2</t>
    </r>
  </si>
  <si>
    <r>
      <rPr>
        <sz val="12"/>
        <color rgb="FFFF0000"/>
        <rFont val="Calibri"/>
        <family val="2"/>
      </rPr>
      <t>PE.1.132</t>
    </r>
    <r>
      <rPr>
        <sz val="12"/>
        <rFont val="Calibri"/>
        <family val="2"/>
      </rPr>
      <t xml:space="preserve">
</t>
    </r>
    <r>
      <rPr>
        <b/>
        <sz val="12"/>
        <rFont val="Calibri"/>
        <family val="2"/>
      </rPr>
      <t>PE.L1-3.10.3</t>
    </r>
    <r>
      <rPr>
        <sz val="12"/>
        <rFont val="Calibri"/>
        <family val="2"/>
      </rPr>
      <t xml:space="preserve">
</t>
    </r>
    <r>
      <rPr>
        <i/>
        <sz val="12"/>
        <rFont val="Calibri"/>
        <family val="2"/>
      </rPr>
      <t>Escort Visitors</t>
    </r>
    <r>
      <rPr>
        <sz val="12"/>
        <rFont val="Calibri"/>
        <family val="2"/>
      </rPr>
      <t xml:space="preserve">
Escort visitors and monitor visitor activity. 
• FAR Clause 52.204-21 Partial b.1.ix 
• NIST SP 800-171 Rev 2 3.10.3</t>
    </r>
  </si>
  <si>
    <r>
      <rPr>
        <sz val="12"/>
        <color rgb="FFFF0000"/>
        <rFont val="Calibri"/>
        <family val="2"/>
      </rPr>
      <t>PE.3.136</t>
    </r>
    <r>
      <rPr>
        <sz val="12"/>
        <rFont val="Calibri"/>
        <family val="2"/>
      </rPr>
      <t xml:space="preserve">
</t>
    </r>
    <r>
      <rPr>
        <b/>
        <sz val="12"/>
        <rFont val="Calibri"/>
        <family val="2"/>
      </rPr>
      <t>PE.L2-3.10.6</t>
    </r>
    <r>
      <rPr>
        <sz val="12"/>
        <rFont val="Calibri"/>
        <family val="2"/>
      </rPr>
      <t xml:space="preserve">
</t>
    </r>
    <r>
      <rPr>
        <i/>
        <sz val="12"/>
        <rFont val="Calibri"/>
        <family val="2"/>
      </rPr>
      <t>Alternative Work Sites</t>
    </r>
    <r>
      <rPr>
        <sz val="12"/>
        <rFont val="Calibri"/>
        <family val="2"/>
      </rPr>
      <t xml:space="preserve">
Enforce safeguarding measures for CUI at alternate work sites.
• NIST SP 800-171 Rev 2 3.10.6</t>
    </r>
  </si>
  <si>
    <r>
      <rPr>
        <sz val="12"/>
        <color rgb="FFFF0000"/>
        <rFont val="Calibri"/>
        <family val="2"/>
      </rPr>
      <t>PE.1.133</t>
    </r>
    <r>
      <rPr>
        <sz val="12"/>
        <rFont val="Calibri"/>
        <family val="2"/>
      </rPr>
      <t xml:space="preserve">
</t>
    </r>
    <r>
      <rPr>
        <b/>
        <sz val="12"/>
        <rFont val="Calibri"/>
        <family val="2"/>
      </rPr>
      <t>PE.L1-3.10.4</t>
    </r>
    <r>
      <rPr>
        <sz val="12"/>
        <rFont val="Calibri"/>
        <family val="2"/>
      </rPr>
      <t xml:space="preserve">
</t>
    </r>
    <r>
      <rPr>
        <i/>
        <sz val="12"/>
        <rFont val="Calibri"/>
        <family val="2"/>
      </rPr>
      <t>Physical Access Logs</t>
    </r>
    <r>
      <rPr>
        <sz val="12"/>
        <rFont val="Calibri"/>
        <family val="2"/>
      </rPr>
      <t xml:space="preserve">
Maintain audit logs of physical access.
• FAR Clause 52.204-21 Partial b.1.ix 
• NIST SP 800-171 Rev 2 3.10.4</t>
    </r>
  </si>
  <si>
    <r>
      <rPr>
        <sz val="12"/>
        <color rgb="FFFF0000"/>
        <rFont val="Calibri"/>
        <family val="2"/>
      </rPr>
      <t>PE.1.134</t>
    </r>
    <r>
      <rPr>
        <sz val="12"/>
        <rFont val="Calibri"/>
        <family val="2"/>
      </rPr>
      <t xml:space="preserve">
</t>
    </r>
    <r>
      <rPr>
        <b/>
        <sz val="12"/>
        <rFont val="Calibri"/>
        <family val="2"/>
      </rPr>
      <t>PE.L1-3.10.5</t>
    </r>
    <r>
      <rPr>
        <sz val="12"/>
        <rFont val="Calibri"/>
        <family val="2"/>
      </rPr>
      <t xml:space="preserve">
</t>
    </r>
    <r>
      <rPr>
        <i/>
        <sz val="12"/>
        <rFont val="Calibri"/>
        <family val="2"/>
      </rPr>
      <t>Manage Physical Access</t>
    </r>
    <r>
      <rPr>
        <sz val="12"/>
        <rFont val="Calibri"/>
        <family val="2"/>
      </rPr>
      <t xml:space="preserve">
Control and manage physical access devices.
• FAR Clause 52.204-21 Partial b.1.ix 
• NIST SP 800-171 Rev 2 3.10.5</t>
    </r>
  </si>
  <si>
    <t>DOMAIN: RISK ASSESSMENT (RA)</t>
  </si>
  <si>
    <r>
      <rPr>
        <sz val="12"/>
        <color rgb="FFFF0000"/>
        <rFont val="Calibri"/>
        <family val="2"/>
      </rPr>
      <t>RM.2.141</t>
    </r>
    <r>
      <rPr>
        <sz val="12"/>
        <rFont val="Calibri"/>
        <family val="2"/>
      </rPr>
      <t xml:space="preserve">
</t>
    </r>
    <r>
      <rPr>
        <b/>
        <sz val="12"/>
        <rFont val="Calibri"/>
        <family val="2"/>
      </rPr>
      <t>RA.L2-3.11.1</t>
    </r>
    <r>
      <rPr>
        <sz val="12"/>
        <rFont val="Calibri"/>
        <family val="2"/>
      </rPr>
      <t xml:space="preserve">
</t>
    </r>
    <r>
      <rPr>
        <i/>
        <sz val="12"/>
        <rFont val="Calibri"/>
        <family val="2"/>
      </rPr>
      <t>Risk Assessments</t>
    </r>
    <r>
      <rPr>
        <sz val="12"/>
        <rFont val="Calibri"/>
        <family val="2"/>
      </rPr>
      <t xml:space="preserve">
Periodically assess the risk to organizational operations (including mission, functions, image, or reputation), organizational assets, and individuals, resulting from the operation of organizational systems and the associated processing, storage, or transmission of CUI.
• NIST SP 800-171 Rev 2 3.11.1</t>
    </r>
  </si>
  <si>
    <r>
      <rPr>
        <sz val="12"/>
        <color rgb="FFFF0000"/>
        <rFont val="Calibri"/>
        <family val="2"/>
      </rPr>
      <t>RM.2.142</t>
    </r>
    <r>
      <rPr>
        <sz val="12"/>
        <rFont val="Calibri"/>
        <family val="2"/>
      </rPr>
      <t xml:space="preserve">
</t>
    </r>
    <r>
      <rPr>
        <b/>
        <sz val="12"/>
        <rFont val="Calibri"/>
        <family val="2"/>
      </rPr>
      <t>RA.L2-3.11.2</t>
    </r>
    <r>
      <rPr>
        <sz val="12"/>
        <rFont val="Calibri"/>
        <family val="2"/>
      </rPr>
      <t xml:space="preserve">
</t>
    </r>
    <r>
      <rPr>
        <i/>
        <sz val="12"/>
        <rFont val="Calibri"/>
        <family val="2"/>
      </rPr>
      <t>Vulnerability Scan</t>
    </r>
    <r>
      <rPr>
        <sz val="12"/>
        <rFont val="Calibri"/>
        <family val="2"/>
      </rPr>
      <t xml:space="preserve">
Scan for vulnerabilities in organizational systems and applications periodically and when new vulnerabilities affecting those systems and applications are identified. 
• NIST SP 800-171 Rev 2 3.11.2</t>
    </r>
  </si>
  <si>
    <r>
      <rPr>
        <sz val="12"/>
        <color rgb="FFFF0000"/>
        <rFont val="Calibri"/>
        <family val="2"/>
      </rPr>
      <t>RM.2.143</t>
    </r>
    <r>
      <rPr>
        <sz val="12"/>
        <rFont val="Calibri"/>
        <family val="2"/>
      </rPr>
      <t xml:space="preserve">
</t>
    </r>
    <r>
      <rPr>
        <b/>
        <sz val="12"/>
        <rFont val="Calibri"/>
        <family val="2"/>
      </rPr>
      <t>RA.L2-3.11.3</t>
    </r>
    <r>
      <rPr>
        <sz val="12"/>
        <rFont val="Calibri"/>
        <family val="2"/>
      </rPr>
      <t xml:space="preserve">
</t>
    </r>
    <r>
      <rPr>
        <i/>
        <sz val="12"/>
        <rFont val="Calibri"/>
        <family val="2"/>
      </rPr>
      <t>Vulnerability Remediation</t>
    </r>
    <r>
      <rPr>
        <sz val="12"/>
        <rFont val="Calibri"/>
        <family val="2"/>
      </rPr>
      <t xml:space="preserve">
Remediate vulnerabilities in accordance with risk assessments.
• NIST SP 800-171 Rev 2 3.11.3</t>
    </r>
  </si>
  <si>
    <r>
      <rPr>
        <sz val="12"/>
        <color rgb="FFFF0000"/>
        <rFont val="Calibri"/>
        <family val="2"/>
      </rPr>
      <t>CA.2.158</t>
    </r>
    <r>
      <rPr>
        <sz val="12"/>
        <rFont val="Calibri"/>
        <family val="2"/>
      </rPr>
      <t xml:space="preserve">
</t>
    </r>
    <r>
      <rPr>
        <b/>
        <sz val="12"/>
        <rFont val="Calibri"/>
        <family val="2"/>
      </rPr>
      <t>CA.L2-3.12.1</t>
    </r>
    <r>
      <rPr>
        <sz val="12"/>
        <rFont val="Calibri"/>
        <family val="2"/>
      </rPr>
      <t xml:space="preserve">
</t>
    </r>
    <r>
      <rPr>
        <i/>
        <sz val="12"/>
        <rFont val="Calibri"/>
        <family val="2"/>
      </rPr>
      <t>Security Control Assessment</t>
    </r>
    <r>
      <rPr>
        <sz val="12"/>
        <rFont val="Calibri"/>
        <family val="2"/>
      </rPr>
      <t xml:space="preserve">
Periodically assess the security controls in organizational systems to determine if the controls are effective in their application. 
• NIST SP 800-171 Rev 2 3.12.1</t>
    </r>
  </si>
  <si>
    <r>
      <rPr>
        <sz val="12"/>
        <color rgb="FFFF0000"/>
        <rFont val="Calibri"/>
        <family val="2"/>
      </rPr>
      <t>CA.2.159</t>
    </r>
    <r>
      <rPr>
        <sz val="12"/>
        <rFont val="Calibri"/>
        <family val="2"/>
      </rPr>
      <t xml:space="preserve">
</t>
    </r>
    <r>
      <rPr>
        <b/>
        <sz val="12"/>
        <rFont val="Calibri"/>
        <family val="2"/>
      </rPr>
      <t>CA.L2-3.12.2</t>
    </r>
    <r>
      <rPr>
        <sz val="12"/>
        <rFont val="Calibri"/>
        <family val="2"/>
      </rPr>
      <t xml:space="preserve">
</t>
    </r>
    <r>
      <rPr>
        <i/>
        <sz val="12"/>
        <rFont val="Calibri"/>
        <family val="2"/>
      </rPr>
      <t>Plan of Action</t>
    </r>
    <r>
      <rPr>
        <sz val="12"/>
        <rFont val="Calibri"/>
        <family val="2"/>
      </rPr>
      <t xml:space="preserve">
Develop and implement plans of action designed to correct deficiencies and reduce or eliminate vulnerabilities in organizational systems.
• NIST SP 800-171 Rev 2 3.12.2</t>
    </r>
  </si>
  <si>
    <r>
      <rPr>
        <sz val="12"/>
        <color rgb="FFFF0000"/>
        <rFont val="Calibri"/>
        <family val="2"/>
      </rPr>
      <t>CA.3.161</t>
    </r>
    <r>
      <rPr>
        <sz val="12"/>
        <rFont val="Calibri"/>
        <family val="2"/>
      </rPr>
      <t xml:space="preserve">
</t>
    </r>
    <r>
      <rPr>
        <b/>
        <sz val="12"/>
        <rFont val="Calibri"/>
        <family val="2"/>
      </rPr>
      <t>CA.L2-3.12.3</t>
    </r>
    <r>
      <rPr>
        <sz val="12"/>
        <rFont val="Calibri"/>
        <family val="2"/>
      </rPr>
      <t xml:space="preserve">
</t>
    </r>
    <r>
      <rPr>
        <i/>
        <sz val="12"/>
        <rFont val="Calibri"/>
        <family val="2"/>
      </rPr>
      <t>Security Control Monitoring</t>
    </r>
    <r>
      <rPr>
        <sz val="12"/>
        <rFont val="Calibri"/>
        <family val="2"/>
      </rPr>
      <t xml:space="preserve">
Monitor security controls on an ongoing basis to ensure the continued effectiveness of the controls. 
• NIST SP 800-171 Rev 2 3.12.3</t>
    </r>
  </si>
  <si>
    <r>
      <rPr>
        <sz val="12"/>
        <color rgb="FFFF0000"/>
        <rFont val="Calibri"/>
        <family val="2"/>
      </rPr>
      <t>CA.2.157</t>
    </r>
    <r>
      <rPr>
        <sz val="12"/>
        <rFont val="Calibri"/>
        <family val="2"/>
      </rPr>
      <t xml:space="preserve">
</t>
    </r>
    <r>
      <rPr>
        <b/>
        <sz val="12"/>
        <rFont val="Calibri"/>
        <family val="2"/>
      </rPr>
      <t>CA.L2-3.12.4</t>
    </r>
    <r>
      <rPr>
        <sz val="12"/>
        <rFont val="Calibri"/>
        <family val="2"/>
      </rPr>
      <t xml:space="preserve">
</t>
    </r>
    <r>
      <rPr>
        <i/>
        <sz val="12"/>
        <rFont val="Calibri"/>
        <family val="2"/>
      </rPr>
      <t>System Security Plan</t>
    </r>
    <r>
      <rPr>
        <sz val="12"/>
        <rFont val="Calibri"/>
        <family val="2"/>
      </rPr>
      <t xml:space="preserve">
Develop, document, and periodically update system security plans that describe system boundaries, system environments of operation, how security requirements are implemented, and the relationships with or connections to other systems. 
• NIST SP 800-171 Rev 2 3.12.4</t>
    </r>
  </si>
  <si>
    <r>
      <rPr>
        <sz val="12"/>
        <color rgb="FFFF0000"/>
        <rFont val="Calibri"/>
        <family val="2"/>
      </rPr>
      <t>SC.1.175</t>
    </r>
    <r>
      <rPr>
        <sz val="12"/>
        <rFont val="Calibri"/>
        <family val="2"/>
      </rPr>
      <t xml:space="preserve">
</t>
    </r>
    <r>
      <rPr>
        <b/>
        <sz val="12"/>
        <rFont val="Calibri"/>
        <family val="2"/>
      </rPr>
      <t>SC.L1-3.13.1</t>
    </r>
    <r>
      <rPr>
        <sz val="12"/>
        <rFont val="Calibri"/>
        <family val="2"/>
      </rPr>
      <t xml:space="preserve">
</t>
    </r>
    <r>
      <rPr>
        <i/>
        <sz val="12"/>
        <rFont val="Calibri"/>
        <family val="2"/>
      </rPr>
      <t>Boundary Protection</t>
    </r>
    <r>
      <rPr>
        <sz val="12"/>
        <rFont val="Calibri"/>
        <family val="2"/>
      </rPr>
      <t xml:space="preserve">
Monitor, control, and protect organizational communications (i.e., information transmitted or received by organizational information systems) at the external boundaries and key internal boundaries of the information systems.
• FAR Clause 52.204-21 b.1.x
• NIST SP 800-171 Rev 2 3.13.1</t>
    </r>
  </si>
  <si>
    <r>
      <rPr>
        <sz val="12"/>
        <color rgb="FFFF0000"/>
        <rFont val="Calibri"/>
        <family val="2"/>
      </rPr>
      <t>SC.3.180</t>
    </r>
    <r>
      <rPr>
        <sz val="12"/>
        <rFont val="Calibri"/>
        <family val="2"/>
      </rPr>
      <t xml:space="preserve">
</t>
    </r>
    <r>
      <rPr>
        <b/>
        <sz val="12"/>
        <rFont val="Calibri"/>
        <family val="2"/>
      </rPr>
      <t>SC.L2-3.13.2</t>
    </r>
    <r>
      <rPr>
        <sz val="12"/>
        <rFont val="Calibri"/>
        <family val="2"/>
      </rPr>
      <t xml:space="preserve">
</t>
    </r>
    <r>
      <rPr>
        <i/>
        <sz val="12"/>
        <rFont val="Calibri"/>
        <family val="2"/>
      </rPr>
      <t>Security Engineering</t>
    </r>
    <r>
      <rPr>
        <sz val="12"/>
        <rFont val="Calibri"/>
        <family val="2"/>
      </rPr>
      <t xml:space="preserve">
Employ architectural designs, software development techniques, and systems engineering principles that promote effective information security within organizational systems.
• NIST SP 800-171 Rev 2 3.13.2</t>
    </r>
  </si>
  <si>
    <r>
      <rPr>
        <sz val="12"/>
        <color rgb="FFFF0000"/>
        <rFont val="Calibri"/>
        <family val="2"/>
      </rPr>
      <t>SC.1.176</t>
    </r>
    <r>
      <rPr>
        <sz val="12"/>
        <rFont val="Calibri"/>
        <family val="2"/>
      </rPr>
      <t xml:space="preserve">
</t>
    </r>
    <r>
      <rPr>
        <b/>
        <sz val="12"/>
        <rFont val="Calibri"/>
        <family val="2"/>
      </rPr>
      <t>SC.L1-3.13.5</t>
    </r>
    <r>
      <rPr>
        <sz val="12"/>
        <rFont val="Calibri"/>
        <family val="2"/>
      </rPr>
      <t xml:space="preserve">
</t>
    </r>
    <r>
      <rPr>
        <i/>
        <sz val="12"/>
        <rFont val="Calibri"/>
        <family val="2"/>
      </rPr>
      <t>Public-Access System Separation</t>
    </r>
    <r>
      <rPr>
        <sz val="12"/>
        <rFont val="Calibri"/>
        <family val="2"/>
      </rPr>
      <t xml:space="preserve">
Implement subnetworks for publicly accessible system components that are physically or logically separated from internal networks.
• FAR Clause 52.204-21 b.1.xi
• NIST SP 800-171 Rev 2 3.13.5</t>
    </r>
  </si>
  <si>
    <r>
      <rPr>
        <sz val="12"/>
        <color rgb="FFFF0000"/>
        <rFont val="Calibri"/>
        <family val="2"/>
      </rPr>
      <t>SC.3.181</t>
    </r>
    <r>
      <rPr>
        <sz val="12"/>
        <rFont val="Calibri"/>
        <family val="2"/>
      </rPr>
      <t xml:space="preserve">
</t>
    </r>
    <r>
      <rPr>
        <b/>
        <sz val="12"/>
        <rFont val="Calibri"/>
        <family val="2"/>
      </rPr>
      <t>SC.L2-3.13.3</t>
    </r>
    <r>
      <rPr>
        <sz val="12"/>
        <rFont val="Calibri"/>
        <family val="2"/>
      </rPr>
      <t xml:space="preserve">
</t>
    </r>
    <r>
      <rPr>
        <i/>
        <sz val="12"/>
        <rFont val="Calibri"/>
        <family val="2"/>
      </rPr>
      <t>Role Separation</t>
    </r>
    <r>
      <rPr>
        <sz val="12"/>
        <rFont val="Calibri"/>
        <family val="2"/>
      </rPr>
      <t xml:space="preserve">
Separate user functionality from system management functionality. 
• NIST SP 800-171 Rev 2 3.13.3</t>
    </r>
  </si>
  <si>
    <r>
      <rPr>
        <sz val="12"/>
        <color rgb="FFFF0000"/>
        <rFont val="Calibri"/>
        <family val="2"/>
      </rPr>
      <t>SC.3.182</t>
    </r>
    <r>
      <rPr>
        <sz val="12"/>
        <rFont val="Calibri"/>
        <family val="2"/>
      </rPr>
      <t xml:space="preserve">
</t>
    </r>
    <r>
      <rPr>
        <b/>
        <sz val="12"/>
        <rFont val="Calibri"/>
        <family val="2"/>
      </rPr>
      <t>SC.L2-3.13.4</t>
    </r>
    <r>
      <rPr>
        <sz val="12"/>
        <rFont val="Calibri"/>
        <family val="2"/>
      </rPr>
      <t xml:space="preserve">
</t>
    </r>
    <r>
      <rPr>
        <i/>
        <sz val="12"/>
        <rFont val="Calibri"/>
        <family val="2"/>
      </rPr>
      <t>Shared Resource Control</t>
    </r>
    <r>
      <rPr>
        <sz val="12"/>
        <rFont val="Calibri"/>
        <family val="2"/>
      </rPr>
      <t xml:space="preserve">
Prevent unauthorized and unintended information transfer via shared system resources. 
• NIST SP 800-171 Rev 2 3.13.4</t>
    </r>
  </si>
  <si>
    <r>
      <rPr>
        <sz val="12"/>
        <color rgb="FFFF0000"/>
        <rFont val="Calibri"/>
        <family val="2"/>
      </rPr>
      <t>SC.3.183</t>
    </r>
    <r>
      <rPr>
        <sz val="12"/>
        <rFont val="Calibri"/>
        <family val="2"/>
      </rPr>
      <t xml:space="preserve">
</t>
    </r>
    <r>
      <rPr>
        <b/>
        <sz val="12"/>
        <rFont val="Calibri"/>
        <family val="2"/>
      </rPr>
      <t>SC.L2-3.13.6</t>
    </r>
    <r>
      <rPr>
        <sz val="12"/>
        <rFont val="Calibri"/>
        <family val="2"/>
      </rPr>
      <t xml:space="preserve">
</t>
    </r>
    <r>
      <rPr>
        <i/>
        <sz val="12"/>
        <rFont val="Calibri"/>
        <family val="2"/>
      </rPr>
      <t>Network Communication by Exception</t>
    </r>
    <r>
      <rPr>
        <sz val="12"/>
        <rFont val="Calibri"/>
        <family val="2"/>
      </rPr>
      <t xml:space="preserve">
Deny network communications traffic by default and allow network communications traffic by exception (i.e., deny all, permit by exception).
• NIST SP 800-171 Rev 2 3.13.6</t>
    </r>
  </si>
  <si>
    <r>
      <rPr>
        <sz val="12"/>
        <color rgb="FFFF0000"/>
        <rFont val="Calibri"/>
        <family val="2"/>
      </rPr>
      <t>SC.3.184</t>
    </r>
    <r>
      <rPr>
        <sz val="12"/>
        <rFont val="Calibri"/>
        <family val="2"/>
      </rPr>
      <t xml:space="preserve">
</t>
    </r>
    <r>
      <rPr>
        <b/>
        <sz val="12"/>
        <rFont val="Calibri"/>
        <family val="2"/>
      </rPr>
      <t>SC.L2-3.13.7</t>
    </r>
    <r>
      <rPr>
        <sz val="12"/>
        <rFont val="Calibri"/>
        <family val="2"/>
      </rPr>
      <t xml:space="preserve">
</t>
    </r>
    <r>
      <rPr>
        <i/>
        <sz val="12"/>
        <rFont val="Calibri"/>
        <family val="2"/>
      </rPr>
      <t>Split Tunneling</t>
    </r>
    <r>
      <rPr>
        <sz val="12"/>
        <rFont val="Calibri"/>
        <family val="2"/>
      </rPr>
      <t xml:space="preserve">
Prevent remote devices from simultaneously establishing non-remote connections with organizational systems and communicating via some other connection to resources in external networks (i.e., split tunneling). 
• NIST SP 800-171 Rev 2 3.13.7</t>
    </r>
  </si>
  <si>
    <r>
      <rPr>
        <sz val="12"/>
        <color rgb="FFFF0000"/>
        <rFont val="Calibri"/>
        <family val="2"/>
      </rPr>
      <t>SC.3.185</t>
    </r>
    <r>
      <rPr>
        <sz val="12"/>
        <rFont val="Calibri"/>
        <family val="2"/>
      </rPr>
      <t xml:space="preserve">
</t>
    </r>
    <r>
      <rPr>
        <b/>
        <sz val="12"/>
        <rFont val="Calibri"/>
        <family val="2"/>
      </rPr>
      <t>SC.L2-3.13.8</t>
    </r>
    <r>
      <rPr>
        <sz val="12"/>
        <rFont val="Calibri"/>
        <family val="2"/>
      </rPr>
      <t xml:space="preserve">
</t>
    </r>
    <r>
      <rPr>
        <i/>
        <sz val="12"/>
        <rFont val="Calibri"/>
        <family val="2"/>
      </rPr>
      <t>Data in Transit</t>
    </r>
    <r>
      <rPr>
        <sz val="12"/>
        <rFont val="Calibri"/>
        <family val="2"/>
      </rPr>
      <t xml:space="preserve">
Implement cryptographic mechanisms to prevent unauthorized disclosure of CUI during transmission unless otherwise protected by alternative physical safeguards.
• NIST SP 800-171 Rev 2 3.13.8</t>
    </r>
  </si>
  <si>
    <r>
      <rPr>
        <sz val="12"/>
        <color rgb="FFFF0000"/>
        <rFont val="Calibri"/>
        <family val="2"/>
      </rPr>
      <t>SC.3.186</t>
    </r>
    <r>
      <rPr>
        <sz val="12"/>
        <rFont val="Calibri"/>
        <family val="2"/>
      </rPr>
      <t xml:space="preserve">
</t>
    </r>
    <r>
      <rPr>
        <b/>
        <sz val="12"/>
        <rFont val="Calibri"/>
        <family val="2"/>
      </rPr>
      <t>SC.L2-3.13.9</t>
    </r>
    <r>
      <rPr>
        <sz val="12"/>
        <rFont val="Calibri"/>
        <family val="2"/>
      </rPr>
      <t xml:space="preserve">
</t>
    </r>
    <r>
      <rPr>
        <i/>
        <sz val="12"/>
        <rFont val="Calibri"/>
        <family val="2"/>
      </rPr>
      <t>Connections Termination</t>
    </r>
    <r>
      <rPr>
        <sz val="12"/>
        <rFont val="Calibri"/>
        <family val="2"/>
      </rPr>
      <t xml:space="preserve">
Terminate network connections associated with communications sessions at the end of the sessions or after a defined period of inactivity. 
• NIST SP 800-171 Rev 2 3.13.9</t>
    </r>
  </si>
  <si>
    <r>
      <rPr>
        <sz val="12"/>
        <color rgb="FFFF0000"/>
        <rFont val="Calibri"/>
        <family val="2"/>
      </rPr>
      <t>SC.3.187</t>
    </r>
    <r>
      <rPr>
        <sz val="12"/>
        <rFont val="Calibri"/>
        <family val="2"/>
      </rPr>
      <t xml:space="preserve">
</t>
    </r>
    <r>
      <rPr>
        <b/>
        <sz val="12"/>
        <rFont val="Calibri"/>
        <family val="2"/>
      </rPr>
      <t>SC.L2-3.13.10</t>
    </r>
    <r>
      <rPr>
        <sz val="12"/>
        <rFont val="Calibri"/>
        <family val="2"/>
      </rPr>
      <t xml:space="preserve">
</t>
    </r>
    <r>
      <rPr>
        <i/>
        <sz val="12"/>
        <rFont val="Calibri"/>
        <family val="2"/>
      </rPr>
      <t>Key Management</t>
    </r>
    <r>
      <rPr>
        <sz val="12"/>
        <rFont val="Calibri"/>
        <family val="2"/>
      </rPr>
      <t xml:space="preserve">
Establish and manage cryptographic keys for cryptography employed in organizational systems. 
• NIST SP 800-171 Rev 2 3.13.10</t>
    </r>
  </si>
  <si>
    <r>
      <rPr>
        <sz val="12"/>
        <color rgb="FFFF0000"/>
        <rFont val="Calibri"/>
        <family val="2"/>
      </rPr>
      <t>SC.3.177</t>
    </r>
    <r>
      <rPr>
        <sz val="12"/>
        <rFont val="Calibri"/>
        <family val="2"/>
      </rPr>
      <t xml:space="preserve">
</t>
    </r>
    <r>
      <rPr>
        <b/>
        <sz val="12"/>
        <rFont val="Calibri"/>
        <family val="2"/>
      </rPr>
      <t>SC.L2-3.13.11</t>
    </r>
    <r>
      <rPr>
        <sz val="12"/>
        <rFont val="Calibri"/>
        <family val="2"/>
      </rPr>
      <t xml:space="preserve">
</t>
    </r>
    <r>
      <rPr>
        <i/>
        <sz val="12"/>
        <rFont val="Calibri"/>
        <family val="2"/>
      </rPr>
      <t>CUI Encryption</t>
    </r>
    <r>
      <rPr>
        <sz val="12"/>
        <rFont val="Calibri"/>
        <family val="2"/>
      </rPr>
      <t xml:space="preserve">
Employ FIPS-validated cryptography when used to protect the confidentiality of CUI. 
• NIST SP 800-171 Rev 2 3.13.11</t>
    </r>
  </si>
  <si>
    <r>
      <rPr>
        <sz val="12"/>
        <color rgb="FFFF0000"/>
        <rFont val="Calibri"/>
        <family val="2"/>
      </rPr>
      <t>SC.2.178</t>
    </r>
    <r>
      <rPr>
        <sz val="12"/>
        <rFont val="Calibri"/>
        <family val="2"/>
      </rPr>
      <t xml:space="preserve">
</t>
    </r>
    <r>
      <rPr>
        <b/>
        <sz val="12"/>
        <rFont val="Calibri"/>
        <family val="2"/>
      </rPr>
      <t>SC.L2-3.13.12</t>
    </r>
    <r>
      <rPr>
        <sz val="12"/>
        <rFont val="Calibri"/>
        <family val="2"/>
      </rPr>
      <t xml:space="preserve">
</t>
    </r>
    <r>
      <rPr>
        <i/>
        <sz val="12"/>
        <rFont val="Calibri"/>
        <family val="2"/>
      </rPr>
      <t>Collaborative Device Control</t>
    </r>
    <r>
      <rPr>
        <sz val="12"/>
        <rFont val="Calibri"/>
        <family val="2"/>
      </rPr>
      <t xml:space="preserve">
Prohibit remote activation of collaborative computing devices and provide indication of devices in use to users present at the device. 
• NIST SP 800-171 Rev 2 3.13.12</t>
    </r>
  </si>
  <si>
    <r>
      <rPr>
        <sz val="12"/>
        <color rgb="FFFF0000"/>
        <rFont val="Calibri"/>
        <family val="2"/>
      </rPr>
      <t>SC.3.188</t>
    </r>
    <r>
      <rPr>
        <sz val="12"/>
        <rFont val="Calibri"/>
        <family val="2"/>
      </rPr>
      <t xml:space="preserve">
</t>
    </r>
    <r>
      <rPr>
        <b/>
        <sz val="12"/>
        <rFont val="Calibri"/>
        <family val="2"/>
      </rPr>
      <t>SC.L2-3.13.13</t>
    </r>
    <r>
      <rPr>
        <sz val="12"/>
        <rFont val="Calibri"/>
        <family val="2"/>
      </rPr>
      <t xml:space="preserve">
</t>
    </r>
    <r>
      <rPr>
        <i/>
        <sz val="12"/>
        <rFont val="Calibri"/>
        <family val="2"/>
      </rPr>
      <t>Mobile Code</t>
    </r>
    <r>
      <rPr>
        <sz val="12"/>
        <rFont val="Calibri"/>
        <family val="2"/>
      </rPr>
      <t xml:space="preserve">
Control and monitor the use of mobile code. 
• NIST SP 800-171 Rev 2 3.13.13</t>
    </r>
  </si>
  <si>
    <r>
      <rPr>
        <sz val="12"/>
        <color rgb="FFFF0000"/>
        <rFont val="Calibri"/>
        <family val="2"/>
      </rPr>
      <t>SC.3.189</t>
    </r>
    <r>
      <rPr>
        <sz val="12"/>
        <rFont val="Calibri"/>
        <family val="2"/>
      </rPr>
      <t xml:space="preserve">
</t>
    </r>
    <r>
      <rPr>
        <b/>
        <sz val="12"/>
        <rFont val="Calibri"/>
        <family val="2"/>
      </rPr>
      <t>SC.L2-3.13.14</t>
    </r>
    <r>
      <rPr>
        <sz val="12"/>
        <rFont val="Calibri"/>
        <family val="2"/>
      </rPr>
      <t xml:space="preserve">
</t>
    </r>
    <r>
      <rPr>
        <i/>
        <sz val="12"/>
        <rFont val="Calibri"/>
        <family val="2"/>
      </rPr>
      <t>Voice over Internet Protocol</t>
    </r>
    <r>
      <rPr>
        <sz val="12"/>
        <rFont val="Calibri"/>
        <family val="2"/>
      </rPr>
      <t xml:space="preserve">
Control and monitor the use of Voice over Internet Protocol (VoIP) technologies.
• NIST SP 800-171 Rev 2 3.13.14</t>
    </r>
  </si>
  <si>
    <r>
      <rPr>
        <sz val="12"/>
        <color rgb="FFFF0000"/>
        <rFont val="Calibri"/>
        <family val="2"/>
      </rPr>
      <t>SC.3.190</t>
    </r>
    <r>
      <rPr>
        <sz val="12"/>
        <rFont val="Calibri"/>
        <family val="2"/>
      </rPr>
      <t xml:space="preserve">
</t>
    </r>
    <r>
      <rPr>
        <b/>
        <sz val="12"/>
        <rFont val="Calibri"/>
        <family val="2"/>
      </rPr>
      <t>SC.L2-3.13.15</t>
    </r>
    <r>
      <rPr>
        <sz val="12"/>
        <rFont val="Calibri"/>
        <family val="2"/>
      </rPr>
      <t xml:space="preserve">
</t>
    </r>
    <r>
      <rPr>
        <i/>
        <sz val="12"/>
        <rFont val="Calibri"/>
        <family val="2"/>
      </rPr>
      <t>Communications Authenticity</t>
    </r>
    <r>
      <rPr>
        <sz val="12"/>
        <rFont val="Calibri"/>
        <family val="2"/>
      </rPr>
      <t xml:space="preserve">
Protect the authenticity of communications sessions.
• NIST SP 800-171 Rev 2 3.13.15</t>
    </r>
  </si>
  <si>
    <r>
      <rPr>
        <sz val="12"/>
        <color rgb="FFFF0000"/>
        <rFont val="Calibri"/>
        <family val="2"/>
      </rPr>
      <t>SC.3.191</t>
    </r>
    <r>
      <rPr>
        <sz val="12"/>
        <rFont val="Calibri"/>
        <family val="2"/>
      </rPr>
      <t xml:space="preserve">
</t>
    </r>
    <r>
      <rPr>
        <b/>
        <sz val="12"/>
        <rFont val="Calibri"/>
        <family val="2"/>
      </rPr>
      <t>SC.L2-3.13.16</t>
    </r>
    <r>
      <rPr>
        <sz val="12"/>
        <rFont val="Calibri"/>
        <family val="2"/>
      </rPr>
      <t xml:space="preserve">
</t>
    </r>
    <r>
      <rPr>
        <i/>
        <sz val="12"/>
        <rFont val="Calibri"/>
        <family val="2"/>
      </rPr>
      <t>Data at Rest</t>
    </r>
    <r>
      <rPr>
        <sz val="12"/>
        <rFont val="Calibri"/>
        <family val="2"/>
      </rPr>
      <t xml:space="preserve">
Protect the confidentiality of CUI at rest.
• NIST SP 800-171 Rev 2 3.13.16</t>
    </r>
  </si>
  <si>
    <r>
      <rPr>
        <sz val="12"/>
        <color rgb="FFFF0000"/>
        <rFont val="Calibri"/>
        <family val="2"/>
      </rPr>
      <t>SI.1.210</t>
    </r>
    <r>
      <rPr>
        <sz val="12"/>
        <rFont val="Calibri"/>
        <family val="2"/>
      </rPr>
      <t xml:space="preserve">
</t>
    </r>
    <r>
      <rPr>
        <b/>
        <sz val="12"/>
        <rFont val="Calibri"/>
        <family val="2"/>
      </rPr>
      <t>SI.L1-3.14.1</t>
    </r>
    <r>
      <rPr>
        <sz val="12"/>
        <rFont val="Calibri"/>
        <family val="2"/>
      </rPr>
      <t xml:space="preserve">
</t>
    </r>
    <r>
      <rPr>
        <i/>
        <sz val="12"/>
        <rFont val="Calibri"/>
        <family val="2"/>
      </rPr>
      <t>Flaw Remediation</t>
    </r>
    <r>
      <rPr>
        <sz val="12"/>
        <rFont val="Calibri"/>
        <family val="2"/>
      </rPr>
      <t xml:space="preserve">
Identify, report, and correct information and information system flaws in a timely manner.
• FAR Clause 52.204-21 b.1.xii
• NIST SP 800-171 Rev 2 3.14.1</t>
    </r>
  </si>
  <si>
    <r>
      <rPr>
        <sz val="12"/>
        <color rgb="FFFF0000"/>
        <rFont val="Calibri"/>
        <family val="2"/>
      </rPr>
      <t>SI.2.214</t>
    </r>
    <r>
      <rPr>
        <sz val="12"/>
        <rFont val="Calibri"/>
        <family val="2"/>
      </rPr>
      <t xml:space="preserve">
</t>
    </r>
    <r>
      <rPr>
        <b/>
        <sz val="12"/>
        <rFont val="Calibri"/>
        <family val="2"/>
      </rPr>
      <t>SI.L2-3.14.3</t>
    </r>
    <r>
      <rPr>
        <sz val="12"/>
        <rFont val="Calibri"/>
        <family val="2"/>
      </rPr>
      <t xml:space="preserve">
</t>
    </r>
    <r>
      <rPr>
        <i/>
        <sz val="12"/>
        <rFont val="Calibri"/>
        <family val="2"/>
      </rPr>
      <t>Security Alerts &amp; Advisories</t>
    </r>
    <r>
      <rPr>
        <sz val="12"/>
        <rFont val="Calibri"/>
        <family val="2"/>
      </rPr>
      <t xml:space="preserve">
Monitor system security alerts and advisories and take action in response.
• NIST SP 800-171 Rev 2 3.14.3</t>
    </r>
  </si>
  <si>
    <r>
      <rPr>
        <sz val="12"/>
        <color rgb="FFFF0000"/>
        <rFont val="Calibri"/>
        <family val="2"/>
      </rPr>
      <t>SI.1.211</t>
    </r>
    <r>
      <rPr>
        <sz val="12"/>
        <rFont val="Calibri"/>
        <family val="2"/>
      </rPr>
      <t xml:space="preserve">
</t>
    </r>
    <r>
      <rPr>
        <b/>
        <sz val="12"/>
        <rFont val="Calibri"/>
        <family val="2"/>
      </rPr>
      <t>SI.L1-3.14.2</t>
    </r>
    <r>
      <rPr>
        <sz val="12"/>
        <rFont val="Calibri"/>
        <family val="2"/>
      </rPr>
      <t xml:space="preserve">
</t>
    </r>
    <r>
      <rPr>
        <i/>
        <sz val="12"/>
        <rFont val="Calibri"/>
        <family val="2"/>
      </rPr>
      <t>Malicious Code Protection</t>
    </r>
    <r>
      <rPr>
        <sz val="12"/>
        <rFont val="Calibri"/>
        <family val="2"/>
      </rPr>
      <t xml:space="preserve">
Provide protection from malicious code at appropriate locations within organizational information systems.
• FAR Clause 52.204-21 b.1.xiii
• NIST SP 800-171 Rev 2 3.14.2</t>
    </r>
  </si>
  <si>
    <r>
      <rPr>
        <sz val="12"/>
        <color rgb="FFFF0000"/>
        <rFont val="Calibri"/>
        <family val="2"/>
      </rPr>
      <t>SI.2.216</t>
    </r>
    <r>
      <rPr>
        <sz val="12"/>
        <rFont val="Calibri"/>
        <family val="2"/>
      </rPr>
      <t xml:space="preserve">
</t>
    </r>
    <r>
      <rPr>
        <b/>
        <sz val="12"/>
        <rFont val="Calibri"/>
        <family val="2"/>
      </rPr>
      <t>SI.L2-3.14.6</t>
    </r>
    <r>
      <rPr>
        <sz val="12"/>
        <rFont val="Calibri"/>
        <family val="2"/>
      </rPr>
      <t xml:space="preserve">
</t>
    </r>
    <r>
      <rPr>
        <i/>
        <sz val="12"/>
        <rFont val="Calibri"/>
        <family val="2"/>
      </rPr>
      <t>Monitor Communications for Attacks</t>
    </r>
    <r>
      <rPr>
        <sz val="12"/>
        <rFont val="Calibri"/>
        <family val="2"/>
      </rPr>
      <t xml:space="preserve">
Monitor organizational systems, including inbound and outbound communications traffic, to detect attacks and indicators of potential attacks.
• NIST SP 800-171 Rev 2 3.14.6</t>
    </r>
  </si>
  <si>
    <r>
      <rPr>
        <sz val="12"/>
        <color rgb="FFFF0000"/>
        <rFont val="Calibri"/>
        <family val="2"/>
      </rPr>
      <t>SI.1.212</t>
    </r>
    <r>
      <rPr>
        <sz val="12"/>
        <rFont val="Calibri"/>
        <family val="2"/>
      </rPr>
      <t xml:space="preserve">
</t>
    </r>
    <r>
      <rPr>
        <b/>
        <sz val="12"/>
        <rFont val="Calibri"/>
        <family val="2"/>
      </rPr>
      <t>SI.L1-3.14.4</t>
    </r>
    <r>
      <rPr>
        <sz val="12"/>
        <rFont val="Calibri"/>
        <family val="2"/>
      </rPr>
      <t xml:space="preserve">
</t>
    </r>
    <r>
      <rPr>
        <i/>
        <sz val="12"/>
        <rFont val="Calibri"/>
        <family val="2"/>
      </rPr>
      <t>Update Malicious Code Protection</t>
    </r>
    <r>
      <rPr>
        <sz val="12"/>
        <rFont val="Calibri"/>
        <family val="2"/>
      </rPr>
      <t xml:space="preserve">
Update malicious code protection mechanisms when new releases are available.
• FAR Clause 52.204-21 b.1.xiv
• NIST SP 800-171 Rev 2 3.14.4</t>
    </r>
  </si>
  <si>
    <r>
      <rPr>
        <sz val="12"/>
        <color rgb="FFFF0000"/>
        <rFont val="Calibri"/>
        <family val="2"/>
      </rPr>
      <t>SI.2.217</t>
    </r>
    <r>
      <rPr>
        <sz val="12"/>
        <rFont val="Calibri"/>
        <family val="2"/>
      </rPr>
      <t xml:space="preserve">
</t>
    </r>
    <r>
      <rPr>
        <b/>
        <sz val="12"/>
        <rFont val="Calibri"/>
        <family val="2"/>
      </rPr>
      <t>SI.L2-3.14.7</t>
    </r>
    <r>
      <rPr>
        <sz val="12"/>
        <rFont val="Calibri"/>
        <family val="2"/>
      </rPr>
      <t xml:space="preserve">
</t>
    </r>
    <r>
      <rPr>
        <i/>
        <sz val="12"/>
        <rFont val="Calibri"/>
        <family val="2"/>
      </rPr>
      <t>Identify Unauthorized Use</t>
    </r>
    <r>
      <rPr>
        <sz val="12"/>
        <rFont val="Calibri"/>
        <family val="2"/>
      </rPr>
      <t xml:space="preserve">
Identify unauthorized use of organizational systems. 
• NIST SP 800-171 Rev 2 3.14.7</t>
    </r>
  </si>
  <si>
    <r>
      <rPr>
        <sz val="12"/>
        <color rgb="FFFF0000"/>
        <rFont val="Calibri"/>
        <family val="2"/>
      </rPr>
      <t>SI.1.213</t>
    </r>
    <r>
      <rPr>
        <sz val="12"/>
        <rFont val="Calibri"/>
        <family val="2"/>
      </rPr>
      <t xml:space="preserve">
</t>
    </r>
    <r>
      <rPr>
        <b/>
        <sz val="12"/>
        <rFont val="Calibri"/>
        <family val="2"/>
      </rPr>
      <t>SI.L1-3.14.5</t>
    </r>
    <r>
      <rPr>
        <sz val="12"/>
        <rFont val="Calibri"/>
        <family val="2"/>
      </rPr>
      <t xml:space="preserve">
</t>
    </r>
    <r>
      <rPr>
        <i/>
        <sz val="12"/>
        <rFont val="Calibri"/>
        <family val="2"/>
      </rPr>
      <t>System &amp; File Scanning</t>
    </r>
    <r>
      <rPr>
        <sz val="12"/>
        <rFont val="Calibri"/>
        <family val="2"/>
      </rPr>
      <t xml:space="preserve">
Perform periodic scans of the information system and real-time scans of files from external sources as files are downloaded, opened, or executed.
• FAR Clause 52.204-21 b.1.xv
• NIST SP 800-171 Rev 2 3.14.5</t>
    </r>
  </si>
  <si>
    <t>CMMC 2.0 ID</t>
  </si>
  <si>
    <t>CMMC 1.0 ID</t>
  </si>
  <si>
    <t>AC.L1-3.1.1</t>
  </si>
  <si>
    <t>AC.L1-3.1.2</t>
  </si>
  <si>
    <t>AC.L1-3.1.20</t>
  </si>
  <si>
    <t>AC.L1-3.1.22</t>
  </si>
  <si>
    <t>AC.L2-3.1.3</t>
  </si>
  <si>
    <t>AC.3.017</t>
  </si>
  <si>
    <t>AC.L2-3.1.4</t>
  </si>
  <si>
    <t>AC.L2-3.1.5</t>
  </si>
  <si>
    <t>AC.L2-3.1.6</t>
  </si>
  <si>
    <t>AC.L2-3.1.7</t>
  </si>
  <si>
    <t>AC.3.018</t>
  </si>
  <si>
    <t>AC.L2-3.1.8</t>
  </si>
  <si>
    <t>AC.L2-3.1.9</t>
  </si>
  <si>
    <t>AC.L2-3.1.11</t>
  </si>
  <si>
    <t>AU.L2-3.3.1</t>
  </si>
  <si>
    <t>AC.L2-3.1.10</t>
  </si>
  <si>
    <t>AC.3.019</t>
  </si>
  <si>
    <t>AC.L2-3.1.12</t>
  </si>
  <si>
    <t>AC.3.014</t>
  </si>
  <si>
    <t>AC.L2-3.1.13</t>
  </si>
  <si>
    <t>AC.L2-3.1.14</t>
  </si>
  <si>
    <t>AC.3.021</t>
  </si>
  <si>
    <t>AC.L2-3.1.15</t>
  </si>
  <si>
    <t>CMMC 2.0 Level</t>
  </si>
  <si>
    <t>AC.L2-3.1.16</t>
  </si>
  <si>
    <t>AC.3.012</t>
  </si>
  <si>
    <t>AC.L2-3.1.17</t>
  </si>
  <si>
    <t>AC.3.020</t>
  </si>
  <si>
    <t>AC.L2-3.1.18</t>
  </si>
  <si>
    <t>AC.3.022</t>
  </si>
  <si>
    <t>AC.L2-3.1.19</t>
  </si>
  <si>
    <t>AC.L2-3.1.21</t>
  </si>
  <si>
    <t>AU.L2-3.3.2</t>
  </si>
  <si>
    <t>AU.3.045</t>
  </si>
  <si>
    <t>AU.L2-3.3.3</t>
  </si>
  <si>
    <t>AU.3.046</t>
  </si>
  <si>
    <t>AU.L2-3.3.4</t>
  </si>
  <si>
    <t>AU.3.051</t>
  </si>
  <si>
    <t>AU.L2-3.3.5</t>
  </si>
  <si>
    <t>AU.3.052</t>
  </si>
  <si>
    <t>AU.L2-3.3.6</t>
  </si>
  <si>
    <t>AU.L2-3.3.7</t>
  </si>
  <si>
    <t>AU.3.049</t>
  </si>
  <si>
    <t>AU.L2-3.3.8</t>
  </si>
  <si>
    <t>AU.3.050</t>
  </si>
  <si>
    <t>AU.L2-3.3.9</t>
  </si>
  <si>
    <t>AT.L2-3.2.1</t>
  </si>
  <si>
    <t>AT.3.058</t>
  </si>
  <si>
    <t>AT.L2-3.2.2</t>
  </si>
  <si>
    <t>AT.L2-3.2.3</t>
  </si>
  <si>
    <t>CM.L2-3.4.1</t>
  </si>
  <si>
    <t>CM.L2-3.4.2</t>
  </si>
  <si>
    <t>CM.L2-3.4.3</t>
  </si>
  <si>
    <t>CM.L2-3.4.4</t>
  </si>
  <si>
    <t>CM.3.067</t>
  </si>
  <si>
    <t>CM.L2-3.4.5</t>
  </si>
  <si>
    <t>CM.L2-3.4.6</t>
  </si>
  <si>
    <t>CM.3.068</t>
  </si>
  <si>
    <t>CM.L2-3.4.7</t>
  </si>
  <si>
    <t>CM.3.069</t>
  </si>
  <si>
    <t>CM.L2-3.4.8</t>
  </si>
  <si>
    <t>CM.L2-3.4.9</t>
  </si>
  <si>
    <t>IA.L1-3.5.1</t>
  </si>
  <si>
    <t>IA.L1-3.5.2</t>
  </si>
  <si>
    <t>IA.3.083</t>
  </si>
  <si>
    <t>IA.L2-3.5.3</t>
  </si>
  <si>
    <t>IA.3.084</t>
  </si>
  <si>
    <t>IA.L2-3.5.4</t>
  </si>
  <si>
    <t>IA.3.085</t>
  </si>
  <si>
    <t>IA.L2-3.5.5</t>
  </si>
  <si>
    <t>IA.3.086</t>
  </si>
  <si>
    <t>IA.L2-3.5.6</t>
  </si>
  <si>
    <t>IA.L2-3.5.7</t>
  </si>
  <si>
    <t>IA.L2-3.5.8</t>
  </si>
  <si>
    <t>IA.L2-3.5.9</t>
  </si>
  <si>
    <t>IA.L2-3.5.10</t>
  </si>
  <si>
    <t>IA.L2-3.5.11</t>
  </si>
  <si>
    <t>IR.3.098</t>
  </si>
  <si>
    <t>IR.3.099</t>
  </si>
  <si>
    <t>IR.L2-3.6.1</t>
  </si>
  <si>
    <t>IR.L2-3.6.2</t>
  </si>
  <si>
    <t>IR.L2-3.6.3</t>
  </si>
  <si>
    <t>MA.3.115</t>
  </si>
  <si>
    <t>MA.3.116</t>
  </si>
  <si>
    <t>MA.L2-3.7.1</t>
  </si>
  <si>
    <t>MA.L2-3.7.2</t>
  </si>
  <si>
    <t>MA.L2-3.7.3</t>
  </si>
  <si>
    <t>MA.L2-3.7.4</t>
  </si>
  <si>
    <t>MA.L2-3.7.5</t>
  </si>
  <si>
    <t>MA.L2-3.7.6</t>
  </si>
  <si>
    <t>MP.L1-3.8.3</t>
  </si>
  <si>
    <t>MP.L2-3.8.1</t>
  </si>
  <si>
    <t>MP.L2-3.8.2</t>
  </si>
  <si>
    <t>MP.3.122</t>
  </si>
  <si>
    <t>MP.L2-3.8.4</t>
  </si>
  <si>
    <t>MP.3.124</t>
  </si>
  <si>
    <t>MP.L2-3.8.5</t>
  </si>
  <si>
    <t>MP.3.125</t>
  </si>
  <si>
    <t>MP.L2-3.8.6</t>
  </si>
  <si>
    <t>MP.L2-3.8.7</t>
  </si>
  <si>
    <t>MP.3.123</t>
  </si>
  <si>
    <t>MP.L2-3.8.8</t>
  </si>
  <si>
    <t>MP.L2-3.8.9</t>
  </si>
  <si>
    <t>PS.L2-3.9.1</t>
  </si>
  <si>
    <t>PS.L2-3.9.2</t>
  </si>
  <si>
    <t>PE.L1-3.10.1</t>
  </si>
  <si>
    <t>PE.L1-3.10.3</t>
  </si>
  <si>
    <t>PE.L1-3.10.4</t>
  </si>
  <si>
    <t>PE.L1-3.10.5</t>
  </si>
  <si>
    <t>PE.L2-3.10.2</t>
  </si>
  <si>
    <t>SC.L1-3.13.1</t>
  </si>
  <si>
    <t>SC.L2-3.13.2</t>
  </si>
  <si>
    <t>PE.3.136</t>
  </si>
  <si>
    <t>PE.L2-3.10.6</t>
  </si>
  <si>
    <t>RA.L2-3.11.1</t>
  </si>
  <si>
    <t>RA.L2-3.11.2</t>
  </si>
  <si>
    <t>RA.L2-3.11.3</t>
  </si>
  <si>
    <t>CA.3.161</t>
  </si>
  <si>
    <t>CA.L2-3.12.1</t>
  </si>
  <si>
    <t>CA.L2-3.12.2</t>
  </si>
  <si>
    <t>CA.L2-3.12.3</t>
  </si>
  <si>
    <t>CA.L2-3.12.4</t>
  </si>
  <si>
    <t>SC.L1-3.13.5</t>
  </si>
  <si>
    <t>SC.3.180</t>
  </si>
  <si>
    <t>SC.3.181</t>
  </si>
  <si>
    <t>SC.L2-3.13.3</t>
  </si>
  <si>
    <t>SC.3.182</t>
  </si>
  <si>
    <t>SC.L2-3.13.4</t>
  </si>
  <si>
    <t>SC.3.183</t>
  </si>
  <si>
    <t>SC.L2-3.13.6</t>
  </si>
  <si>
    <t>SC.3.184</t>
  </si>
  <si>
    <t>SC.L2-3.13.7</t>
  </si>
  <si>
    <t>SC.3.185</t>
  </si>
  <si>
    <t>SC.L2-3.13.8</t>
  </si>
  <si>
    <t>SC.3.186</t>
  </si>
  <si>
    <t>SC.L2-3.13.9</t>
  </si>
  <si>
    <t>SC.3.187</t>
  </si>
  <si>
    <t>SC.L2-3.13.10</t>
  </si>
  <si>
    <t>SC.3.177</t>
  </si>
  <si>
    <t>SC.L2-3.13.11</t>
  </si>
  <si>
    <t>3.13.12</t>
  </si>
  <si>
    <t>SC.L2-3.13.12</t>
  </si>
  <si>
    <t>SC.3.188</t>
  </si>
  <si>
    <t>SC.L2-3.13.13</t>
  </si>
  <si>
    <t>SC.3.189</t>
  </si>
  <si>
    <t>SC.L2-3.13.14</t>
  </si>
  <si>
    <t>SC.3.190</t>
  </si>
  <si>
    <t>SC.L2-3.13.15</t>
  </si>
  <si>
    <t>SC.3.191</t>
  </si>
  <si>
    <t>SC.L2-3.13.16</t>
  </si>
  <si>
    <t>SI.L1-3.14.1</t>
  </si>
  <si>
    <t>SI.L1-3.14.2</t>
  </si>
  <si>
    <t>SI.L1-3.14.4</t>
  </si>
  <si>
    <t>SI.L1-3.14.5</t>
  </si>
  <si>
    <t>SI.L2-3.14.3</t>
  </si>
  <si>
    <t>SI.L2-3.14.6</t>
  </si>
  <si>
    <t>SI.L2-3.14.7</t>
  </si>
  <si>
    <t>Yes/No
No = Fail</t>
  </si>
  <si>
    <t>5 or 3</t>
  </si>
  <si>
    <t>Practice Category</t>
  </si>
  <si>
    <t>Tactical</t>
  </si>
  <si>
    <t>Practice Focus</t>
  </si>
  <si>
    <t>Business Practice</t>
  </si>
  <si>
    <t>Solution Alignment</t>
  </si>
  <si>
    <t>Assign Tasks to Asset/Process Owner</t>
  </si>
  <si>
    <t>Operational</t>
  </si>
  <si>
    <t>Technology</t>
  </si>
  <si>
    <t>Assign Tasks to IT Personnel</t>
  </si>
  <si>
    <t>Configuration or Software or Hardware or Outsourced</t>
  </si>
  <si>
    <t>Configuration or Software</t>
  </si>
  <si>
    <t>Technical Configuration</t>
  </si>
  <si>
    <t>Hardware</t>
  </si>
  <si>
    <t>Software or Hardware</t>
  </si>
  <si>
    <t>Software</t>
  </si>
  <si>
    <t>Strategic</t>
  </si>
  <si>
    <t>Cybersecurity</t>
  </si>
  <si>
    <t>Assign to Cybersecurity Personnel</t>
  </si>
  <si>
    <t>Administrative (Policies, Procedures, etc.)</t>
  </si>
  <si>
    <t>AC.L1-3.1.1
AC.L1-3.1.2
AC.L1-3.1.20
AC.L1-3.1.22</t>
  </si>
  <si>
    <t>AC.L2-3.1.3
AC.L2-3.1.4
AC.L2-3.1.5
AC.L2-3.1.6
AC.L2-3.1.7
AC.L2-3.1.8
AC.L2-3.1.9
AC.L2-3.1.10
AC.L2-3.1.11
AC.L2-3.1.12
AC.L2-3.1.13
AC.L2-3.1.14
AC.L2-3.1.15
AC.L2-3.1.16
AC.L2-3.1.17
AC.L2-3.1.18
AC.L2-3.1.19
AC.L2-3.1.21</t>
  </si>
  <si>
    <t>AU.L2-3.3.1
AU.L2-3.3.2
AU.L2-3.3.3
AU.L2-3.3.4
AU.L2-3.3.5
AU.L2-3.3.6
AU.L2-3.3.7
AU.L2-3.3.8
AU.L2-3.3.9</t>
  </si>
  <si>
    <t>AT.L2-3.2.1
AT.L2-3.2.2
AT.L2-3.2.3</t>
  </si>
  <si>
    <t>CM.L2-3.4.1
CM.L2-3.4.2
CM.L2-3.4.3
CM.L2-3.4.4
CM.L2-3.4.5
CM.L2-3.4.6
CM.L2-3.4.7
CM.L2-3.4.8
CM.L2-3.4.9</t>
  </si>
  <si>
    <t>IA.L1-3.5.1
IA.L1-3.5.2</t>
  </si>
  <si>
    <t>IA.L2-3.5.3
IA.L2-3.5.4
IA.L2-3.5.5
IA.L2-3.5.6
IA.L2-3.5.7
IA.L2-3.5.8
IA.L2-3.5.9
IA.L2-3.5.10
IA.L2-3.5.11</t>
  </si>
  <si>
    <t>IR.L2-3.6.1
IR.L2-3.6.2
IR.L2-3.6.3</t>
  </si>
  <si>
    <t>MA.L2-3.7.1
MA.L2-3.7.2
MA.L2-3.7.3
MA.L2-3.7.4
MA.L2-3.7.5
MA.L2-3.7.6</t>
  </si>
  <si>
    <t>MP.L2-3.8.1
MP.L2-3.8.2
MP.L2-3.8.4
MP.L2-3.8.5
MP.L2-3.8.6
MP.L2-3.8.7
MP.L2-3.8.8
MP.L2-3.8.9</t>
  </si>
  <si>
    <t>PS.L2-3.9.1
PS.L2-3.9.2</t>
  </si>
  <si>
    <t>PE.L1-3.10.1
PE.L1-3.10.3
PE.L1-3.10.4
PE.L1-3.10.5</t>
  </si>
  <si>
    <t>PE.L2-3.10.2
PE.L2-3.10.6</t>
  </si>
  <si>
    <t>Risk Assessment RA (3.11)</t>
  </si>
  <si>
    <t>Risk Assessment
RA</t>
  </si>
  <si>
    <t>RA.L2-3.11.1
RA.L2-3.11.2
RA.L2-3.11.3</t>
  </si>
  <si>
    <t>CA.L2-3.12.1
CA.L2-3.12.2
CA.L2-3.12.3
CA.L2-3.12.4</t>
  </si>
  <si>
    <t>SC.L1-3.13.1
SC.L1-3.13.5</t>
  </si>
  <si>
    <t>SC.L2-3.13.2
SC.L2-3.13.3
SC.L2-3.13.4
SC.L2-3.13.6
SC.L2-3.13.7
SC.L2-3.13.8
SC.L2-3.13.9
SC.L2-3.13.10
SC.L2-3.13.11
SC.L2-3.13.12
SC.L2-3.13.13
SC.L2-3.13.14
SC.L2-3.13.15
SC.L2-3.13.16</t>
  </si>
  <si>
    <t>SI.L1-3.14.1
SI.L1-3.14.2
SI.L1-3.14.4
SI.L1-3.14.5</t>
  </si>
  <si>
    <t>SI.L2-3.14.3
SI.L2-3.14.6
SI.L2-3.14.7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</si>
</sst>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Cambria"/>
      <family val="1"/>
    </font>
    <font>
      <b/>
      <sz val="12"/>
      <name val="Cambria"/>
      <family val="1"/>
    </font>
    <font>
      <sz val="24"/>
      <color rgb="FF5B57A6"/>
      <name val="Calibri"/>
      <family val="2"/>
    </font>
    <font>
      <b/>
      <sz val="12"/>
      <name val="Calibri"/>
      <family val="2"/>
    </font>
    <font>
      <sz val="12"/>
      <name val="Calibri"/>
      <family val="2"/>
    </font>
    <font>
      <strike/>
      <sz val="12"/>
      <name val="Calibri"/>
      <family val="2"/>
    </font>
    <font>
      <b/>
      <sz val="16"/>
      <color theme="0"/>
      <name val="Calibri"/>
      <family val="2"/>
    </font>
    <font>
      <sz val="16"/>
      <name val="Calibri"/>
      <family val="2"/>
    </font>
    <font>
      <strike/>
      <sz val="12"/>
      <color rgb="FFFF0000"/>
      <name val="Calibri"/>
      <family val="2"/>
    </font>
    <font>
      <sz val="12"/>
      <color rgb="FF00B050"/>
      <name val="Calibri"/>
      <family val="2"/>
    </font>
    <font>
      <sz val="12"/>
      <color rgb="FFFF0000"/>
      <name val="Calibri"/>
      <family val="2"/>
      <scheme val="minor"/>
    </font>
    <font>
      <b/>
      <sz val="11"/>
      <color theme="1"/>
      <name val="Calibri"/>
      <family val="2"/>
      <scheme val="minor"/>
    </font>
    <font>
      <sz val="10"/>
      <color rgb="FF000000"/>
      <name val="Calibri"/>
      <family val="2"/>
    </font>
    <font>
      <b/>
      <sz val="10"/>
      <name val="Arial"/>
      <family val="2"/>
    </font>
    <font>
      <b/>
      <sz val="10"/>
      <color rgb="FFFFFFFF"/>
      <name val="Calibri"/>
      <family val="2"/>
    </font>
    <font>
      <sz val="10"/>
      <name val="Calibri"/>
      <family val="2"/>
    </font>
    <font>
      <sz val="22"/>
      <color rgb="FFFF0000"/>
      <name val="Cambria"/>
      <family val="1"/>
    </font>
    <font>
      <b/>
      <sz val="12"/>
      <color theme="1"/>
      <name val="Calibri"/>
      <family val="2"/>
      <scheme val="minor"/>
    </font>
    <font>
      <b/>
      <u/>
      <sz val="12"/>
      <color theme="1"/>
      <name val="Calibri"/>
      <family val="2"/>
      <scheme val="minor"/>
    </font>
    <font>
      <sz val="10"/>
      <color theme="1"/>
      <name val="Calibri"/>
      <family val="2"/>
    </font>
    <font>
      <sz val="12"/>
      <color rgb="FFFF0000"/>
      <name val="Calibri"/>
      <family val="2"/>
    </font>
    <font>
      <i/>
      <sz val="12"/>
      <name val="Calibri"/>
      <family val="2"/>
    </font>
    <font>
      <sz val="8"/>
      <name val="Calibri"/>
      <family val="2"/>
      <scheme val="minor"/>
    </font>
  </fonts>
  <fills count="10">
    <fill>
      <patternFill patternType="none"/>
    </fill>
    <fill>
      <patternFill patternType="gray125"/>
    </fill>
    <fill>
      <patternFill patternType="solid">
        <fgColor rgb="FF3A5081"/>
        <bgColor indexed="64"/>
      </patternFill>
    </fill>
    <fill>
      <patternFill patternType="solid">
        <fgColor theme="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38761D"/>
        <bgColor rgb="FF38761D"/>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theme="0"/>
      </top>
      <bottom/>
      <diagonal/>
    </border>
    <border>
      <left style="medium">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9">
    <xf numFmtId="0" fontId="0" fillId="0" borderId="0"/>
    <xf numFmtId="0" fontId="5" fillId="0" borderId="0"/>
    <xf numFmtId="0" fontId="4" fillId="0" borderId="0"/>
    <xf numFmtId="0" fontId="3" fillId="0" borderId="0"/>
    <xf numFmtId="0" fontId="3" fillId="0" borderId="0"/>
    <xf numFmtId="0" fontId="2" fillId="0" borderId="0"/>
    <xf numFmtId="0" fontId="1" fillId="0" borderId="0"/>
    <xf numFmtId="0" fontId="1" fillId="0" borderId="0"/>
    <xf numFmtId="0" fontId="1" fillId="0" borderId="0"/>
  </cellStyleXfs>
  <cellXfs count="85">
    <xf numFmtId="0" fontId="0" fillId="0" borderId="0" xfId="0"/>
    <xf numFmtId="0" fontId="6" fillId="0" borderId="0" xfId="0" applyFont="1"/>
    <xf numFmtId="0" fontId="7" fillId="0" borderId="2" xfId="0" applyFont="1" applyBorder="1" applyProtection="1">
      <protection locked="0"/>
    </xf>
    <xf numFmtId="0" fontId="6" fillId="0" borderId="3" xfId="0" applyFont="1" applyBorder="1" applyAlignment="1">
      <alignment wrapText="1"/>
    </xf>
    <xf numFmtId="0" fontId="9" fillId="0" borderId="2" xfId="0" applyFont="1" applyBorder="1" applyProtection="1">
      <protection locked="0"/>
    </xf>
    <xf numFmtId="0" fontId="10" fillId="0" borderId="0" xfId="0" applyFont="1" applyAlignment="1">
      <alignment vertical="center"/>
    </xf>
    <xf numFmtId="0" fontId="10" fillId="0" borderId="0" xfId="0" applyFont="1"/>
    <xf numFmtId="0" fontId="11" fillId="0" borderId="1"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13" fillId="0" borderId="0" xfId="0" applyFont="1" applyAlignment="1">
      <alignment vertical="center"/>
    </xf>
    <xf numFmtId="0" fontId="11" fillId="0" borderId="1" xfId="0" applyFont="1" applyBorder="1" applyAlignment="1">
      <alignment vertical="top" wrapText="1"/>
    </xf>
    <xf numFmtId="0" fontId="14" fillId="0" borderId="0" xfId="0" applyFont="1" applyAlignment="1">
      <alignment vertical="top" wrapText="1"/>
    </xf>
    <xf numFmtId="0" fontId="9" fillId="0" borderId="2" xfId="0" applyFont="1" applyBorder="1" applyAlignment="1" applyProtection="1">
      <alignment horizontal="left" vertical="top"/>
      <protection locked="0"/>
    </xf>
    <xf numFmtId="0" fontId="13" fillId="0" borderId="0" xfId="0" applyFont="1" applyAlignment="1">
      <alignment horizontal="left" vertical="top"/>
    </xf>
    <xf numFmtId="0" fontId="10" fillId="0" borderId="0" xfId="0" applyFont="1" applyAlignment="1">
      <alignment horizontal="left" vertical="top"/>
    </xf>
    <xf numFmtId="0" fontId="10" fillId="0" borderId="1" xfId="0" applyFont="1" applyBorder="1"/>
    <xf numFmtId="0" fontId="15" fillId="0" borderId="0" xfId="0" applyFont="1" applyAlignment="1">
      <alignment vertical="top" wrapText="1"/>
    </xf>
    <xf numFmtId="0" fontId="0" fillId="0" borderId="0" xfId="0" applyAlignment="1">
      <alignment wrapText="1"/>
    </xf>
    <xf numFmtId="49" fontId="0" fillId="0" borderId="0" xfId="0" applyNumberFormat="1" applyAlignment="1">
      <alignment wrapText="1"/>
    </xf>
    <xf numFmtId="49" fontId="0" fillId="0" borderId="0" xfId="0" applyNumberFormat="1"/>
    <xf numFmtId="49" fontId="0" fillId="0" borderId="0" xfId="0" applyNumberFormat="1" applyBorder="1" applyAlignment="1">
      <alignment wrapText="1"/>
    </xf>
    <xf numFmtId="49" fontId="0" fillId="0" borderId="0" xfId="0" applyNumberFormat="1" applyBorder="1"/>
    <xf numFmtId="0" fontId="0" fillId="0" borderId="0" xfId="0" applyBorder="1" applyAlignment="1">
      <alignment horizontal="center" wrapText="1"/>
    </xf>
    <xf numFmtId="49" fontId="0" fillId="0" borderId="0" xfId="0" applyNumberFormat="1" applyFill="1" applyBorder="1"/>
    <xf numFmtId="49" fontId="0" fillId="0" borderId="0" xfId="0" applyNumberFormat="1" applyFill="1" applyBorder="1" applyAlignment="1">
      <alignment wrapText="1"/>
    </xf>
    <xf numFmtId="0" fontId="0" fillId="0" borderId="0" xfId="0" applyBorder="1" applyAlignment="1">
      <alignment wrapText="1"/>
    </xf>
    <xf numFmtId="0" fontId="0" fillId="0" borderId="9" xfId="0" applyBorder="1"/>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shrinkToFit="1"/>
    </xf>
    <xf numFmtId="0" fontId="18" fillId="0" borderId="1" xfId="1" applyFont="1" applyBorder="1" applyAlignment="1">
      <alignment horizontal="center" vertical="center" wrapText="1"/>
    </xf>
    <xf numFmtId="0" fontId="17" fillId="0" borderId="1" xfId="0" applyFont="1" applyBorder="1" applyAlignment="1">
      <alignment wrapText="1"/>
    </xf>
    <xf numFmtId="0" fontId="19" fillId="0" borderId="0" xfId="1" applyFont="1" applyAlignment="1">
      <alignment horizontal="center" vertical="center" wrapText="1"/>
    </xf>
    <xf numFmtId="0" fontId="17" fillId="0" borderId="0" xfId="0" applyFont="1" applyAlignment="1">
      <alignment wrapText="1"/>
    </xf>
    <xf numFmtId="0" fontId="18" fillId="5"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20" fillId="7" borderId="0" xfId="0" applyFont="1" applyFill="1" applyAlignment="1">
      <alignment horizontal="center"/>
    </xf>
    <xf numFmtId="0" fontId="20" fillId="7" borderId="0" xfId="0" applyFont="1" applyFill="1" applyAlignment="1">
      <alignment horizontal="center" wrapText="1"/>
    </xf>
    <xf numFmtId="0" fontId="21" fillId="0" borderId="0" xfId="0" applyFont="1" applyAlignment="1">
      <alignment horizontal="center"/>
    </xf>
    <xf numFmtId="0" fontId="21" fillId="0" borderId="0" xfId="0" applyFont="1" applyAlignment="1">
      <alignment horizontal="left" wrapText="1"/>
    </xf>
    <xf numFmtId="49" fontId="21" fillId="0" borderId="0" xfId="0" applyNumberFormat="1" applyFont="1" applyAlignment="1">
      <alignment horizontal="center"/>
    </xf>
    <xf numFmtId="0" fontId="0" fillId="0" borderId="0" xfId="0" applyAlignment="1">
      <alignment horizontal="right"/>
    </xf>
    <xf numFmtId="0" fontId="0" fillId="0" borderId="0" xfId="0" applyBorder="1"/>
    <xf numFmtId="0" fontId="0" fillId="0" borderId="10" xfId="0" applyBorder="1"/>
    <xf numFmtId="0" fontId="22" fillId="0" borderId="3" xfId="0" applyFont="1" applyBorder="1" applyAlignment="1">
      <alignment wrapText="1"/>
    </xf>
    <xf numFmtId="0" fontId="0" fillId="0" borderId="10" xfId="0" applyNumberFormat="1" applyBorder="1" applyAlignment="1">
      <alignment wrapText="1"/>
    </xf>
    <xf numFmtId="0" fontId="0" fillId="4" borderId="10" xfId="0" applyFill="1" applyBorder="1" applyAlignment="1">
      <alignment wrapText="1"/>
    </xf>
    <xf numFmtId="49" fontId="0" fillId="0" borderId="10" xfId="0" applyNumberFormat="1" applyBorder="1" applyAlignment="1">
      <alignment wrapText="1"/>
    </xf>
    <xf numFmtId="49" fontId="0" fillId="0" borderId="10" xfId="0" applyNumberFormat="1" applyBorder="1"/>
    <xf numFmtId="0" fontId="0" fillId="5" borderId="10" xfId="0" applyFill="1" applyBorder="1" applyAlignment="1">
      <alignment wrapText="1"/>
    </xf>
    <xf numFmtId="49" fontId="0" fillId="3" borderId="10" xfId="0" applyNumberFormat="1" applyFill="1" applyBorder="1"/>
    <xf numFmtId="0" fontId="0" fillId="8" borderId="8" xfId="0" applyNumberFormat="1" applyFill="1" applyBorder="1" applyAlignment="1">
      <alignment wrapText="1"/>
    </xf>
    <xf numFmtId="0" fontId="0" fillId="8" borderId="10" xfId="0" applyNumberFormat="1" applyFill="1" applyBorder="1" applyAlignment="1">
      <alignment wrapText="1"/>
    </xf>
    <xf numFmtId="0" fontId="0" fillId="0" borderId="10" xfId="0" applyBorder="1" applyAlignment="1">
      <alignment horizontal="center" wrapText="1"/>
    </xf>
    <xf numFmtId="0" fontId="0" fillId="8" borderId="10" xfId="0" applyFill="1" applyBorder="1" applyAlignment="1">
      <alignment horizontal="center" wrapText="1"/>
    </xf>
    <xf numFmtId="49" fontId="16" fillId="0" borderId="10" xfId="0" applyNumberFormat="1" applyFont="1" applyBorder="1" applyAlignment="1">
      <alignment wrapText="1"/>
    </xf>
    <xf numFmtId="0" fontId="10" fillId="0" borderId="1" xfId="0" applyFont="1" applyBorder="1" applyAlignment="1">
      <alignment vertical="top" wrapText="1"/>
    </xf>
    <xf numFmtId="0" fontId="21" fillId="0" borderId="0" xfId="0" applyFont="1" applyFill="1" applyAlignment="1">
      <alignment horizontal="center"/>
    </xf>
    <xf numFmtId="0" fontId="21" fillId="0" borderId="0" xfId="0" applyFont="1" applyFill="1" applyAlignment="1">
      <alignment horizontal="left" wrapText="1"/>
    </xf>
    <xf numFmtId="49" fontId="21" fillId="0" borderId="0" xfId="0" applyNumberFormat="1" applyFont="1" applyFill="1" applyAlignment="1">
      <alignment horizontal="center"/>
    </xf>
    <xf numFmtId="49" fontId="25" fillId="0" borderId="0" xfId="0" applyNumberFormat="1" applyFont="1" applyAlignment="1">
      <alignment horizontal="center"/>
    </xf>
    <xf numFmtId="0" fontId="25" fillId="0" borderId="0" xfId="0" applyFont="1" applyAlignment="1">
      <alignment horizontal="center"/>
    </xf>
    <xf numFmtId="0" fontId="25" fillId="0" borderId="0" xfId="0" applyFont="1" applyFill="1" applyAlignment="1">
      <alignment horizontal="center"/>
    </xf>
    <xf numFmtId="0" fontId="12" fillId="2" borderId="1" xfId="0" applyFont="1" applyFill="1" applyBorder="1" applyAlignment="1">
      <alignment horizontal="center" vertical="center"/>
    </xf>
    <xf numFmtId="0" fontId="10" fillId="0" borderId="1" xfId="0" applyFont="1" applyBorder="1" applyAlignment="1">
      <alignment horizontal="left" vertical="top" wrapText="1"/>
    </xf>
    <xf numFmtId="0" fontId="10" fillId="9" borderId="1" xfId="0" applyFont="1" applyFill="1" applyBorder="1" applyAlignment="1">
      <alignment vertical="top" wrapText="1"/>
    </xf>
    <xf numFmtId="0" fontId="11" fillId="9" borderId="1" xfId="0" applyFont="1" applyFill="1" applyBorder="1" applyAlignment="1">
      <alignment vertical="top" wrapText="1"/>
    </xf>
    <xf numFmtId="0" fontId="14" fillId="0" borderId="1" xfId="0" applyFont="1" applyBorder="1" applyAlignment="1">
      <alignment vertical="top" wrapText="1"/>
    </xf>
    <xf numFmtId="0" fontId="10" fillId="9" borderId="1" xfId="0" applyFont="1" applyFill="1" applyBorder="1"/>
    <xf numFmtId="0" fontId="10" fillId="9" borderId="1"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0" borderId="0" xfId="0" applyFont="1" applyAlignment="1">
      <alignment horizontal="left" vertical="top" wrapText="1"/>
    </xf>
    <xf numFmtId="0" fontId="21" fillId="0" borderId="0" xfId="0" applyFont="1" applyFill="1" applyAlignment="1">
      <alignment horizontal="center" wrapText="1"/>
    </xf>
    <xf numFmtId="49" fontId="0" fillId="3" borderId="10" xfId="0" applyNumberFormat="1" applyFill="1" applyBorder="1" applyAlignment="1">
      <alignment wrapText="1"/>
    </xf>
    <xf numFmtId="0" fontId="0" fillId="0" borderId="0" xfId="0" applyAlignment="1">
      <alignment horizontal="left" wrapText="1"/>
    </xf>
    <xf numFmtId="0" fontId="0" fillId="0" borderId="6" xfId="0" applyBorder="1" applyAlignment="1">
      <alignment horizontal="center" wrapText="1"/>
    </xf>
    <xf numFmtId="0" fontId="0" fillId="0" borderId="7" xfId="0" applyBorder="1" applyAlignment="1">
      <alignment horizontal="center"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11" xfId="0" applyFont="1" applyBorder="1" applyAlignment="1">
      <alignment horizontal="left" wrapText="1"/>
    </xf>
    <xf numFmtId="0" fontId="12" fillId="2" borderId="1" xfId="0" applyFont="1" applyFill="1" applyBorder="1" applyAlignment="1">
      <alignment horizontal="center" vertical="center"/>
    </xf>
    <xf numFmtId="0" fontId="8" fillId="0" borderId="1" xfId="0" applyFont="1" applyBorder="1" applyAlignment="1">
      <alignment horizontal="left"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xf>
  </cellXfs>
  <cellStyles count="9">
    <cellStyle name="Normal" xfId="0" builtinId="0"/>
    <cellStyle name="Normal 2" xfId="1" xr:uid="{00000000-0005-0000-0000-000001000000}"/>
    <cellStyle name="Normal 2 2" xfId="4" xr:uid="{00000000-0005-0000-0000-000002000000}"/>
    <cellStyle name="Normal 3 2" xfId="3" xr:uid="{00000000-0005-0000-0000-000003000000}"/>
    <cellStyle name="Normal 3 2 2" xfId="2" xr:uid="{00000000-0005-0000-0000-000004000000}"/>
    <cellStyle name="Normal 3 2 2 2" xfId="5" xr:uid="{00000000-0005-0000-0000-000005000000}"/>
    <cellStyle name="Normal 3 2 2 2 2" xfId="8" xr:uid="{00000000-0005-0000-0000-000006000000}"/>
    <cellStyle name="Normal 3 2 2 3" xfId="7" xr:uid="{00000000-0005-0000-0000-000007000000}"/>
    <cellStyle name="Normal 3 2 3" xfId="6" xr:uid="{00000000-0005-0000-0000-000008000000}"/>
  </cellStyles>
  <dxfs count="5">
    <dxf>
      <font>
        <color theme="1"/>
      </font>
      <fill>
        <patternFill patternType="none"/>
      </fill>
    </dxf>
    <dxf>
      <font>
        <b/>
      </font>
      <fill>
        <patternFill patternType="solid">
          <fgColor rgb="FFEAD1DC"/>
          <bgColor rgb="FFEAD1DC"/>
        </patternFill>
      </fill>
    </dxf>
    <dxf>
      <font>
        <color rgb="FFB7B7B7"/>
      </font>
      <fill>
        <patternFill patternType="none"/>
      </fill>
    </dxf>
    <dxf>
      <font>
        <color theme="1"/>
      </font>
      <fill>
        <patternFill patternType="none"/>
      </fill>
    </dxf>
    <dxf>
      <font>
        <b/>
      </font>
      <fill>
        <patternFill patternType="solid">
          <fgColor rgb="FFEAD1DC"/>
          <bgColor rgb="FFEAD1DC"/>
        </patternFill>
      </fill>
    </dxf>
  </dxfs>
  <tableStyles count="0" defaultTableStyle="TableStyleMedium2" defaultPivotStyle="PivotStyleLight16"/>
  <colors>
    <mruColors>
      <color rgb="FF73D1F5"/>
      <color rgb="FF3A5081"/>
      <color rgb="FF5B57A6"/>
      <color rgb="FFDDDDDD"/>
      <color rgb="FFA6A3CC"/>
      <color rgb="FF2555A6"/>
      <color rgb="FF0066FF"/>
      <color rgb="FFA6DAF4"/>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A4"/>
  <sheetViews>
    <sheetView zoomScale="70" zoomScaleNormal="70" zoomScalePageLayoutView="50" workbookViewId="0">
      <selection activeCell="A2" sqref="A2"/>
    </sheetView>
  </sheetViews>
  <sheetFormatPr defaultColWidth="10.625" defaultRowHeight="15.75"/>
  <cols>
    <col min="1" max="1" width="172.875" style="3" customWidth="1"/>
    <col min="2" max="16384" width="10.625" style="1"/>
  </cols>
  <sheetData>
    <row r="2" spans="1:1" ht="81">
      <c r="A2" s="44" t="s">
        <v>381</v>
      </c>
    </row>
    <row r="4" spans="1:1" s="2" customFormat="1" ht="28.5" customHeight="1">
      <c r="A4" s="3"/>
    </row>
  </sheetData>
  <sheetProtection selectLockedCells="1" sort="0" selectUnlockedCells="1"/>
  <pageMargins left="0.7" right="0.7" top="0.75" bottom="0.75" header="0.3" footer="0.3"/>
  <pageSetup scale="65" orientation="landscape" r:id="rId1"/>
  <headerFooter>
    <oddFooter>&amp;LCybersecurity Maturity Model Certification (CMMC) Version 1.02&amp;R&amp;P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12"/>
  <sheetViews>
    <sheetView zoomScale="54" zoomScaleNormal="54" zoomScalePageLayoutView="60" workbookViewId="0">
      <selection activeCell="B8" sqref="B8"/>
    </sheetView>
  </sheetViews>
  <sheetFormatPr defaultColWidth="10.625" defaultRowHeight="15.75"/>
  <cols>
    <col min="1" max="1" width="55.875" style="6" customWidth="1"/>
    <col min="2" max="2" width="71.125" style="6" customWidth="1"/>
    <col min="3" max="3" width="36.625" style="6" customWidth="1"/>
    <col min="4" max="4" width="20.375" style="6" customWidth="1"/>
    <col min="5" max="16384" width="10.625" style="6"/>
  </cols>
  <sheetData>
    <row r="1" spans="1:4" s="4" customFormat="1" ht="31.5">
      <c r="A1" s="77" t="s">
        <v>5</v>
      </c>
      <c r="B1" s="78"/>
      <c r="C1" s="79"/>
      <c r="D1" s="4">
        <v>11</v>
      </c>
    </row>
    <row r="2" spans="1:4" s="5" customFormat="1" ht="21">
      <c r="A2" s="80" t="s">
        <v>1</v>
      </c>
      <c r="B2" s="80"/>
      <c r="C2" s="80"/>
    </row>
    <row r="3" spans="1:4" s="5" customFormat="1" ht="21">
      <c r="A3" s="63" t="s">
        <v>565</v>
      </c>
      <c r="B3" s="63" t="s">
        <v>566</v>
      </c>
      <c r="C3" s="63" t="s">
        <v>567</v>
      </c>
    </row>
    <row r="4" spans="1:4" s="9" customFormat="1" ht="126">
      <c r="A4" s="56" t="s">
        <v>611</v>
      </c>
      <c r="B4" s="56" t="s">
        <v>612</v>
      </c>
      <c r="C4" s="11"/>
    </row>
    <row r="5" spans="1:4" s="9" customFormat="1" ht="126">
      <c r="A5" s="65" t="s">
        <v>613</v>
      </c>
      <c r="B5" s="65" t="s">
        <v>614</v>
      </c>
      <c r="C5" s="66"/>
    </row>
    <row r="6" spans="1:4" s="9" customFormat="1" ht="78.75">
      <c r="A6" s="11"/>
      <c r="B6" s="56" t="s">
        <v>615</v>
      </c>
      <c r="C6" s="11"/>
    </row>
    <row r="7" spans="1:4" s="9" customFormat="1" ht="78.75">
      <c r="A7" s="66"/>
      <c r="B7" s="65" t="s">
        <v>616</v>
      </c>
      <c r="C7" s="66"/>
    </row>
    <row r="8" spans="1:4" s="9" customFormat="1" ht="94.5">
      <c r="A8" s="56"/>
      <c r="B8" s="56" t="s">
        <v>617</v>
      </c>
      <c r="C8" s="56"/>
    </row>
    <row r="9" spans="1:4" ht="94.5">
      <c r="A9" s="68"/>
      <c r="B9" s="65" t="s">
        <v>618</v>
      </c>
      <c r="C9" s="68"/>
    </row>
    <row r="10" spans="1:4" ht="94.5">
      <c r="A10" s="16"/>
      <c r="B10" s="56" t="s">
        <v>619</v>
      </c>
      <c r="C10" s="16"/>
    </row>
    <row r="11" spans="1:4" ht="78.75">
      <c r="A11" s="68"/>
      <c r="B11" s="65" t="s">
        <v>620</v>
      </c>
      <c r="C11" s="68"/>
    </row>
    <row r="12" spans="1:4" ht="78.75">
      <c r="A12" s="16"/>
      <c r="B12" s="56" t="s">
        <v>621</v>
      </c>
      <c r="C12" s="16"/>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7"/>
  <sheetViews>
    <sheetView zoomScale="54" zoomScaleNormal="54" zoomScalePageLayoutView="60" workbookViewId="0">
      <selection activeCell="B4" sqref="B4"/>
    </sheetView>
  </sheetViews>
  <sheetFormatPr defaultColWidth="10.625" defaultRowHeight="15.75"/>
  <cols>
    <col min="1" max="1" width="36.625" style="6" customWidth="1"/>
    <col min="2" max="2" width="47.125" style="6" customWidth="1"/>
    <col min="3" max="3" width="36.625" style="6" customWidth="1"/>
    <col min="4" max="16384" width="10.625" style="6"/>
  </cols>
  <sheetData>
    <row r="1" spans="1:4" s="4" customFormat="1" ht="31.5">
      <c r="A1" s="77" t="s">
        <v>6</v>
      </c>
      <c r="B1" s="78"/>
      <c r="C1" s="79"/>
      <c r="D1" s="4">
        <v>3</v>
      </c>
    </row>
    <row r="2" spans="1:4" s="10" customFormat="1" ht="21">
      <c r="A2" s="80" t="s">
        <v>1</v>
      </c>
      <c r="B2" s="80"/>
      <c r="C2" s="80"/>
    </row>
    <row r="3" spans="1:4" s="10" customFormat="1" ht="21">
      <c r="A3" s="63" t="s">
        <v>565</v>
      </c>
      <c r="B3" s="63" t="s">
        <v>566</v>
      </c>
      <c r="C3" s="63" t="s">
        <v>567</v>
      </c>
    </row>
    <row r="4" spans="1:4" s="8" customFormat="1" ht="126">
      <c r="A4" s="64"/>
      <c r="B4" s="64" t="s">
        <v>622</v>
      </c>
      <c r="C4" s="64"/>
    </row>
    <row r="5" spans="1:4" s="8" customFormat="1" ht="110.25">
      <c r="A5" s="70"/>
      <c r="B5" s="69" t="s">
        <v>623</v>
      </c>
      <c r="C5" s="69"/>
    </row>
    <row r="6" spans="1:4" s="8" customFormat="1" ht="78.75">
      <c r="A6" s="7"/>
      <c r="B6" s="64" t="s">
        <v>624</v>
      </c>
      <c r="C6" s="64"/>
    </row>
    <row r="7" spans="1:4" s="8" customFormat="1">
      <c r="B7" s="71"/>
      <c r="C7" s="71"/>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9"/>
  <sheetViews>
    <sheetView zoomScale="54" zoomScaleNormal="54" zoomScalePageLayoutView="60" workbookViewId="0">
      <selection activeCell="B4" sqref="B4"/>
    </sheetView>
  </sheetViews>
  <sheetFormatPr defaultColWidth="10.625" defaultRowHeight="15.75"/>
  <cols>
    <col min="1" max="3" width="36.625" style="6" customWidth="1"/>
    <col min="4" max="16384" width="10.625" style="6"/>
  </cols>
  <sheetData>
    <row r="1" spans="1:4" s="4" customFormat="1" ht="31.5">
      <c r="A1" s="81" t="s">
        <v>7</v>
      </c>
      <c r="B1" s="81"/>
      <c r="C1" s="81"/>
      <c r="D1" s="4">
        <v>6</v>
      </c>
    </row>
    <row r="2" spans="1:4" s="10" customFormat="1" ht="21">
      <c r="A2" s="80" t="s">
        <v>1</v>
      </c>
      <c r="B2" s="80"/>
      <c r="C2" s="80"/>
    </row>
    <row r="3" spans="1:4" s="10" customFormat="1" ht="21">
      <c r="A3" s="63" t="s">
        <v>565</v>
      </c>
      <c r="B3" s="63" t="s">
        <v>566</v>
      </c>
      <c r="C3" s="63" t="s">
        <v>567</v>
      </c>
    </row>
    <row r="4" spans="1:4" s="9" customFormat="1" ht="94.5">
      <c r="A4" s="11"/>
      <c r="B4" s="56" t="s">
        <v>625</v>
      </c>
      <c r="C4" s="56"/>
    </row>
    <row r="5" spans="1:4" s="9" customFormat="1" ht="110.25">
      <c r="A5" s="65"/>
      <c r="B5" s="65" t="s">
        <v>626</v>
      </c>
      <c r="C5" s="65"/>
    </row>
    <row r="6" spans="1:4" s="9" customFormat="1" ht="94.5">
      <c r="A6" s="56"/>
      <c r="B6" s="56" t="s">
        <v>627</v>
      </c>
      <c r="C6" s="56"/>
    </row>
    <row r="7" spans="1:4" s="9" customFormat="1" ht="126">
      <c r="A7" s="65"/>
      <c r="B7" s="65" t="s">
        <v>628</v>
      </c>
      <c r="C7" s="65"/>
    </row>
    <row r="8" spans="1:4" s="9" customFormat="1" ht="141.75">
      <c r="A8" s="56"/>
      <c r="B8" s="56" t="s">
        <v>629</v>
      </c>
      <c r="C8" s="56"/>
    </row>
    <row r="9" spans="1:4" ht="110.25">
      <c r="A9" s="68"/>
      <c r="B9" s="65" t="s">
        <v>630</v>
      </c>
      <c r="C9" s="68"/>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11"/>
  <sheetViews>
    <sheetView topLeftCell="A4" zoomScale="54" zoomScaleNormal="54" zoomScalePageLayoutView="60" workbookViewId="0">
      <selection activeCell="B4" sqref="B4"/>
    </sheetView>
  </sheetViews>
  <sheetFormatPr defaultColWidth="10.625" defaultRowHeight="15.75"/>
  <cols>
    <col min="1" max="3" width="36.625" style="6" customWidth="1"/>
    <col min="4" max="16384" width="10.625" style="6"/>
  </cols>
  <sheetData>
    <row r="1" spans="1:4" s="4" customFormat="1" ht="31.5">
      <c r="A1" s="81" t="s">
        <v>8</v>
      </c>
      <c r="B1" s="81"/>
      <c r="C1" s="81"/>
      <c r="D1" s="4">
        <v>9</v>
      </c>
    </row>
    <row r="2" spans="1:4" s="10" customFormat="1" ht="21">
      <c r="A2" s="80" t="s">
        <v>1</v>
      </c>
      <c r="B2" s="80"/>
      <c r="C2" s="80"/>
    </row>
    <row r="3" spans="1:4" s="10" customFormat="1" ht="21">
      <c r="A3" s="63" t="s">
        <v>565</v>
      </c>
      <c r="B3" s="63" t="s">
        <v>566</v>
      </c>
      <c r="C3" s="63" t="s">
        <v>567</v>
      </c>
    </row>
    <row r="4" spans="1:4" s="9" customFormat="1" ht="141.75">
      <c r="A4" s="56" t="s">
        <v>631</v>
      </c>
      <c r="B4" s="56" t="s">
        <v>632</v>
      </c>
      <c r="C4" s="56"/>
    </row>
    <row r="5" spans="1:4" s="9" customFormat="1" ht="94.5">
      <c r="A5" s="65"/>
      <c r="B5" s="65" t="s">
        <v>633</v>
      </c>
      <c r="C5" s="65"/>
    </row>
    <row r="6" spans="1:4" s="9" customFormat="1" ht="94.5">
      <c r="A6" s="56"/>
      <c r="B6" s="56" t="s">
        <v>634</v>
      </c>
      <c r="C6" s="56"/>
    </row>
    <row r="7" spans="1:4" s="9" customFormat="1" ht="126">
      <c r="A7" s="65"/>
      <c r="B7" s="65" t="s">
        <v>635</v>
      </c>
      <c r="C7" s="65"/>
    </row>
    <row r="8" spans="1:4" s="9" customFormat="1" ht="141.75">
      <c r="A8" s="56"/>
      <c r="B8" s="56" t="s">
        <v>636</v>
      </c>
      <c r="C8" s="56"/>
    </row>
    <row r="9" spans="1:4" ht="94.5">
      <c r="A9" s="68"/>
      <c r="B9" s="65" t="s">
        <v>637</v>
      </c>
      <c r="C9" s="68"/>
    </row>
    <row r="10" spans="1:4" ht="110.25">
      <c r="A10" s="16"/>
      <c r="B10" s="56" t="s">
        <v>638</v>
      </c>
      <c r="C10" s="16"/>
    </row>
    <row r="11" spans="1:4" ht="94.5">
      <c r="A11" s="68"/>
      <c r="B11" s="65" t="s">
        <v>639</v>
      </c>
      <c r="C11" s="68"/>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6"/>
  <sheetViews>
    <sheetView zoomScale="54" zoomScaleNormal="54" zoomScalePageLayoutView="60" workbookViewId="0">
      <selection activeCell="B4" sqref="B4"/>
    </sheetView>
  </sheetViews>
  <sheetFormatPr defaultColWidth="10.625" defaultRowHeight="15.75"/>
  <cols>
    <col min="1" max="3" width="36.625" style="6" customWidth="1"/>
    <col min="4" max="16384" width="10.625" style="6"/>
  </cols>
  <sheetData>
    <row r="1" spans="1:4" s="4" customFormat="1" ht="31.5">
      <c r="A1" s="77" t="s">
        <v>9</v>
      </c>
      <c r="B1" s="78"/>
      <c r="C1" s="79"/>
      <c r="D1" s="4">
        <v>2</v>
      </c>
    </row>
    <row r="2" spans="1:4" s="10" customFormat="1" ht="21">
      <c r="A2" s="80" t="s">
        <v>1</v>
      </c>
      <c r="B2" s="80"/>
      <c r="C2" s="80"/>
    </row>
    <row r="3" spans="1:4" s="10" customFormat="1" ht="21">
      <c r="A3" s="63" t="s">
        <v>565</v>
      </c>
      <c r="B3" s="63" t="s">
        <v>566</v>
      </c>
      <c r="C3" s="63" t="s">
        <v>567</v>
      </c>
    </row>
    <row r="4" spans="1:4" s="9" customFormat="1" ht="110.25">
      <c r="A4" s="11"/>
      <c r="B4" s="56" t="s">
        <v>640</v>
      </c>
      <c r="C4" s="11"/>
    </row>
    <row r="5" spans="1:4" s="9" customFormat="1" ht="141.75">
      <c r="A5" s="66"/>
      <c r="B5" s="65" t="s">
        <v>641</v>
      </c>
      <c r="C5" s="65"/>
    </row>
    <row r="6" spans="1:4" s="9" customFormat="1">
      <c r="A6" s="17"/>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8"/>
  <sheetViews>
    <sheetView zoomScale="54" zoomScaleNormal="54" zoomScalePageLayoutView="60" workbookViewId="0">
      <selection activeCell="B4" sqref="B4"/>
    </sheetView>
  </sheetViews>
  <sheetFormatPr defaultColWidth="10.625" defaultRowHeight="15.75"/>
  <cols>
    <col min="1" max="3" width="36.625" style="6" customWidth="1"/>
    <col min="4" max="16384" width="10.625" style="6"/>
  </cols>
  <sheetData>
    <row r="1" spans="1:4" s="4" customFormat="1" ht="31.5">
      <c r="A1" s="77" t="s">
        <v>10</v>
      </c>
      <c r="B1" s="78"/>
      <c r="C1" s="79"/>
      <c r="D1" s="4">
        <v>6</v>
      </c>
    </row>
    <row r="2" spans="1:4" s="10" customFormat="1" ht="21">
      <c r="A2" s="80" t="s">
        <v>1</v>
      </c>
      <c r="B2" s="80"/>
      <c r="C2" s="80"/>
    </row>
    <row r="3" spans="1:4" s="10" customFormat="1" ht="21">
      <c r="A3" s="63" t="s">
        <v>565</v>
      </c>
      <c r="B3" s="63" t="s">
        <v>566</v>
      </c>
      <c r="C3" s="63" t="s">
        <v>567</v>
      </c>
    </row>
    <row r="4" spans="1:4" s="9" customFormat="1" ht="141.75">
      <c r="A4" s="56" t="s">
        <v>642</v>
      </c>
      <c r="B4" s="56" t="s">
        <v>643</v>
      </c>
      <c r="C4" s="56"/>
    </row>
    <row r="5" spans="1:4" s="9" customFormat="1" ht="94.5">
      <c r="A5" s="65" t="s">
        <v>644</v>
      </c>
      <c r="B5" s="65" t="s">
        <v>645</v>
      </c>
      <c r="C5" s="65"/>
    </row>
    <row r="6" spans="1:4" s="9" customFormat="1" ht="94.5">
      <c r="A6" s="56" t="s">
        <v>646</v>
      </c>
      <c r="B6" s="56"/>
      <c r="C6" s="56"/>
    </row>
    <row r="7" spans="1:4" s="9" customFormat="1" ht="110.25">
      <c r="A7" s="65" t="s">
        <v>647</v>
      </c>
      <c r="B7" s="65"/>
      <c r="C7" s="65"/>
    </row>
    <row r="8" spans="1:4" s="9" customFormat="1">
      <c r="A8" s="12"/>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7"/>
  <sheetViews>
    <sheetView zoomScale="54" zoomScaleNormal="54" zoomScalePageLayoutView="50" workbookViewId="0">
      <selection activeCell="B4" sqref="B4"/>
    </sheetView>
  </sheetViews>
  <sheetFormatPr defaultColWidth="10.625" defaultRowHeight="15.75"/>
  <cols>
    <col min="1" max="3" width="36.625" style="6" customWidth="1"/>
    <col min="4" max="16384" width="10.625" style="6"/>
  </cols>
  <sheetData>
    <row r="1" spans="1:4" s="4" customFormat="1" ht="31.5">
      <c r="A1" s="77" t="s">
        <v>648</v>
      </c>
      <c r="B1" s="78"/>
      <c r="C1" s="79"/>
      <c r="D1" s="4">
        <v>3</v>
      </c>
    </row>
    <row r="2" spans="1:4" s="10" customFormat="1" ht="21">
      <c r="A2" s="80" t="s">
        <v>1</v>
      </c>
      <c r="B2" s="80"/>
      <c r="C2" s="80"/>
    </row>
    <row r="3" spans="1:4" s="10" customFormat="1" ht="21">
      <c r="A3" s="63" t="s">
        <v>565</v>
      </c>
      <c r="B3" s="63" t="s">
        <v>566</v>
      </c>
      <c r="C3" s="63" t="s">
        <v>567</v>
      </c>
    </row>
    <row r="4" spans="1:4" s="9" customFormat="1" ht="189">
      <c r="A4" s="56"/>
      <c r="B4" s="56" t="s">
        <v>649</v>
      </c>
      <c r="C4" s="56"/>
    </row>
    <row r="5" spans="1:4" s="9" customFormat="1" ht="126">
      <c r="A5" s="65"/>
      <c r="B5" s="65" t="s">
        <v>650</v>
      </c>
      <c r="C5" s="65"/>
    </row>
    <row r="6" spans="1:4" s="9" customFormat="1" ht="94.5">
      <c r="A6" s="56"/>
      <c r="B6" s="56" t="s">
        <v>651</v>
      </c>
      <c r="C6" s="56"/>
    </row>
    <row r="7" spans="1:4" s="9" customFormat="1"/>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7"/>
  <sheetViews>
    <sheetView zoomScale="50" zoomScaleNormal="50" zoomScalePageLayoutView="60" workbookViewId="0">
      <selection activeCell="B4" sqref="B4"/>
    </sheetView>
  </sheetViews>
  <sheetFormatPr defaultColWidth="10.625" defaultRowHeight="15.75"/>
  <cols>
    <col min="1" max="3" width="36.625" style="6" customWidth="1"/>
    <col min="4" max="16384" width="10.625" style="6"/>
  </cols>
  <sheetData>
    <row r="1" spans="1:4" s="4" customFormat="1" ht="31.5">
      <c r="A1" s="77" t="s">
        <v>11</v>
      </c>
      <c r="B1" s="78"/>
      <c r="C1" s="79"/>
      <c r="D1" s="4">
        <v>4</v>
      </c>
    </row>
    <row r="2" spans="1:4" s="10" customFormat="1" ht="21">
      <c r="A2" s="82" t="s">
        <v>1</v>
      </c>
      <c r="B2" s="83"/>
      <c r="C2" s="84"/>
    </row>
    <row r="3" spans="1:4" s="10" customFormat="1" ht="21">
      <c r="A3" s="63" t="s">
        <v>565</v>
      </c>
      <c r="B3" s="63" t="s">
        <v>566</v>
      </c>
      <c r="C3" s="63" t="s">
        <v>567</v>
      </c>
    </row>
    <row r="4" spans="1:4" s="9" customFormat="1" ht="126">
      <c r="A4" s="56"/>
      <c r="B4" s="56" t="s">
        <v>652</v>
      </c>
      <c r="C4" s="56"/>
    </row>
    <row r="5" spans="1:4" s="9" customFormat="1" ht="126">
      <c r="A5" s="65"/>
      <c r="B5" s="65" t="s">
        <v>653</v>
      </c>
      <c r="C5" s="65"/>
    </row>
    <row r="6" spans="1:4" s="9" customFormat="1" ht="110.25">
      <c r="A6" s="56"/>
      <c r="B6" s="56" t="s">
        <v>654</v>
      </c>
      <c r="C6" s="56"/>
    </row>
    <row r="7" spans="1:4" s="9" customFormat="1" ht="173.25">
      <c r="A7" s="65"/>
      <c r="B7" s="65" t="s">
        <v>655</v>
      </c>
      <c r="C7" s="65"/>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17"/>
  <sheetViews>
    <sheetView zoomScale="60" zoomScaleNormal="60" zoomScalePageLayoutView="50" workbookViewId="0">
      <selection activeCell="B4" sqref="B4"/>
    </sheetView>
  </sheetViews>
  <sheetFormatPr defaultColWidth="10.625" defaultRowHeight="15.75"/>
  <cols>
    <col min="1" max="3" width="36.625" style="6" customWidth="1"/>
    <col min="4" max="16384" width="10.625" style="6"/>
  </cols>
  <sheetData>
    <row r="1" spans="1:4" s="4" customFormat="1" ht="31.5">
      <c r="A1" s="81" t="s">
        <v>12</v>
      </c>
      <c r="B1" s="81"/>
      <c r="C1" s="81"/>
      <c r="D1" s="4">
        <v>16</v>
      </c>
    </row>
    <row r="2" spans="1:4" s="10" customFormat="1" ht="21">
      <c r="A2" s="80" t="s">
        <v>1</v>
      </c>
      <c r="B2" s="80"/>
      <c r="C2" s="80"/>
    </row>
    <row r="3" spans="1:4" s="10" customFormat="1" ht="21">
      <c r="A3" s="63" t="s">
        <v>565</v>
      </c>
      <c r="B3" s="63" t="s">
        <v>566</v>
      </c>
      <c r="C3" s="63" t="s">
        <v>567</v>
      </c>
    </row>
    <row r="4" spans="1:4" s="10" customFormat="1" ht="173.25">
      <c r="A4" s="64" t="s">
        <v>656</v>
      </c>
      <c r="B4" s="64" t="s">
        <v>657</v>
      </c>
      <c r="C4" s="56"/>
    </row>
    <row r="5" spans="1:4" s="9" customFormat="1" ht="141.75">
      <c r="A5" s="69" t="s">
        <v>658</v>
      </c>
      <c r="B5" s="69" t="s">
        <v>659</v>
      </c>
      <c r="C5" s="69"/>
    </row>
    <row r="6" spans="1:4" s="9" customFormat="1" ht="110.25">
      <c r="A6" s="56"/>
      <c r="B6" s="64" t="s">
        <v>660</v>
      </c>
      <c r="C6" s="64"/>
    </row>
    <row r="7" spans="1:4" s="9" customFormat="1" ht="126">
      <c r="A7" s="65"/>
      <c r="B7" s="69" t="s">
        <v>661</v>
      </c>
      <c r="C7" s="70"/>
    </row>
    <row r="8" spans="1:4" s="9" customFormat="1" ht="157.5">
      <c r="A8" s="56"/>
      <c r="B8" s="64" t="s">
        <v>662</v>
      </c>
      <c r="C8" s="56"/>
    </row>
    <row r="9" spans="1:4" s="9" customFormat="1" ht="141.75">
      <c r="A9" s="65"/>
      <c r="B9" s="69" t="s">
        <v>663</v>
      </c>
      <c r="C9" s="65"/>
    </row>
    <row r="10" spans="1:4" s="9" customFormat="1" ht="126">
      <c r="A10" s="56"/>
      <c r="B10" s="64" t="s">
        <v>664</v>
      </c>
      <c r="C10" s="56"/>
    </row>
    <row r="11" spans="1:4" s="9" customFormat="1" ht="110.25">
      <c r="A11" s="65"/>
      <c r="B11" s="69" t="s">
        <v>665</v>
      </c>
      <c r="C11" s="65"/>
    </row>
    <row r="12" spans="1:4" s="9" customFormat="1" ht="94.5">
      <c r="A12" s="56"/>
      <c r="B12" s="64" t="s">
        <v>666</v>
      </c>
      <c r="C12" s="56"/>
    </row>
    <row r="13" spans="1:4" s="9" customFormat="1" ht="126">
      <c r="A13" s="65"/>
      <c r="B13" s="69" t="s">
        <v>667</v>
      </c>
      <c r="C13" s="65"/>
    </row>
    <row r="14" spans="1:4" s="9" customFormat="1" ht="94.5">
      <c r="A14" s="56"/>
      <c r="B14" s="64" t="s">
        <v>668</v>
      </c>
      <c r="C14" s="56"/>
    </row>
    <row r="15" spans="1:4" s="9" customFormat="1" ht="94.5">
      <c r="A15" s="65"/>
      <c r="B15" s="69" t="s">
        <v>669</v>
      </c>
      <c r="C15" s="65"/>
    </row>
    <row r="16" spans="1:4" s="9" customFormat="1" ht="94.5">
      <c r="A16" s="56"/>
      <c r="B16" s="64" t="s">
        <v>670</v>
      </c>
      <c r="C16" s="56"/>
    </row>
    <row r="17" spans="1:3" s="9" customFormat="1" ht="78.75">
      <c r="A17" s="65"/>
      <c r="B17" s="69" t="s">
        <v>671</v>
      </c>
      <c r="C17" s="65"/>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8"/>
  <sheetViews>
    <sheetView zoomScale="54" zoomScaleNormal="54" zoomScalePageLayoutView="60" workbookViewId="0">
      <selection activeCell="B4" sqref="B4"/>
    </sheetView>
  </sheetViews>
  <sheetFormatPr defaultColWidth="10.625" defaultRowHeight="15.75"/>
  <cols>
    <col min="1" max="3" width="36.625" style="6" customWidth="1"/>
    <col min="4" max="16384" width="10.625" style="6"/>
  </cols>
  <sheetData>
    <row r="1" spans="1:4" s="4" customFormat="1" ht="31.5">
      <c r="A1" s="81" t="s">
        <v>13</v>
      </c>
      <c r="B1" s="81"/>
      <c r="C1" s="81"/>
      <c r="D1" s="4">
        <v>7</v>
      </c>
    </row>
    <row r="2" spans="1:4" s="10" customFormat="1" ht="21">
      <c r="A2" s="80" t="s">
        <v>1</v>
      </c>
      <c r="B2" s="80"/>
      <c r="C2" s="80"/>
    </row>
    <row r="3" spans="1:4" s="10" customFormat="1" ht="21">
      <c r="A3" s="63" t="s">
        <v>565</v>
      </c>
      <c r="B3" s="63" t="s">
        <v>566</v>
      </c>
      <c r="C3" s="63" t="s">
        <v>567</v>
      </c>
    </row>
    <row r="4" spans="1:4" s="9" customFormat="1" ht="126">
      <c r="A4" s="56" t="s">
        <v>672</v>
      </c>
      <c r="B4" s="56" t="s">
        <v>673</v>
      </c>
      <c r="C4" s="56"/>
    </row>
    <row r="5" spans="1:4" s="9" customFormat="1" ht="126">
      <c r="A5" s="65" t="s">
        <v>674</v>
      </c>
      <c r="B5" s="65" t="s">
        <v>675</v>
      </c>
      <c r="C5" s="65"/>
    </row>
    <row r="6" spans="1:4" s="9" customFormat="1" ht="126">
      <c r="A6" s="56" t="s">
        <v>676</v>
      </c>
      <c r="B6" s="56" t="s">
        <v>677</v>
      </c>
      <c r="C6" s="56"/>
    </row>
    <row r="7" spans="1:4" s="9" customFormat="1" ht="141.75">
      <c r="A7" s="65" t="s">
        <v>678</v>
      </c>
      <c r="B7" s="65"/>
      <c r="C7" s="65"/>
    </row>
    <row r="8" spans="1:4" s="9" customFormat="1"/>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2655-09C8-4B97-8C84-2BD0F407F3C9}">
  <sheetPr>
    <tabColor theme="9" tint="0.79998168889431442"/>
  </sheetPr>
  <dimension ref="A1:N111"/>
  <sheetViews>
    <sheetView zoomScale="110" zoomScaleNormal="110" workbookViewId="0">
      <selection activeCell="I2" sqref="I2"/>
    </sheetView>
  </sheetViews>
  <sheetFormatPr defaultRowHeight="15.75"/>
  <cols>
    <col min="1" max="1" width="28" customWidth="1"/>
    <col min="2" max="3" width="18.375" customWidth="1"/>
    <col min="4" max="5" width="18.375" hidden="1" customWidth="1"/>
    <col min="6" max="8" width="20.125" hidden="1" customWidth="1"/>
    <col min="9" max="9" width="42.125" bestFit="1" customWidth="1"/>
    <col min="10" max="10" width="134.875" customWidth="1"/>
  </cols>
  <sheetData>
    <row r="1" spans="1:14">
      <c r="A1" s="36" t="s">
        <v>680</v>
      </c>
      <c r="B1" s="36" t="s">
        <v>704</v>
      </c>
      <c r="C1" s="36" t="s">
        <v>562</v>
      </c>
      <c r="D1" s="36" t="s">
        <v>679</v>
      </c>
      <c r="E1" s="36" t="s">
        <v>563</v>
      </c>
      <c r="F1" s="36" t="s">
        <v>564</v>
      </c>
      <c r="G1" s="36" t="s">
        <v>840</v>
      </c>
      <c r="H1" s="36" t="s">
        <v>842</v>
      </c>
      <c r="I1" s="36" t="s">
        <v>844</v>
      </c>
      <c r="J1" s="37" t="s">
        <v>218</v>
      </c>
      <c r="K1" s="37" t="s">
        <v>219</v>
      </c>
      <c r="L1" s="37" t="s">
        <v>220</v>
      </c>
      <c r="M1" s="37" t="s">
        <v>221</v>
      </c>
      <c r="N1" s="37" t="s">
        <v>222</v>
      </c>
    </row>
    <row r="2" spans="1:14">
      <c r="A2" s="57" t="s">
        <v>31</v>
      </c>
      <c r="B2" s="57">
        <f ca="1">IFERROR(__xludf.DUMMYFUNCTION("""COMPUTED_VALUE"""),1)</f>
        <v>1</v>
      </c>
      <c r="C2" s="57" t="s">
        <v>32</v>
      </c>
      <c r="D2" s="57" t="s">
        <v>681</v>
      </c>
      <c r="E2" s="57">
        <v>5</v>
      </c>
      <c r="F2" s="57" t="s">
        <v>560</v>
      </c>
      <c r="G2" s="57" t="s">
        <v>846</v>
      </c>
      <c r="H2" s="57" t="s">
        <v>847</v>
      </c>
      <c r="I2" s="57" t="s">
        <v>851</v>
      </c>
      <c r="J2" s="58" t="str">
        <f ca="1">IFERROR(__xludf.DUMMYFUNCTION("""COMPUTED_VALUE"""),"Limit information system access to authorized users, processes acting on behalf of authorized users, or devices (including other information systems).")</f>
        <v>Limit information system access to authorized users, processes acting on behalf of authorized users, or devices (including other information systems).</v>
      </c>
      <c r="K2">
        <f ca="1">COUNTIF($B$2:$B$111,"1")</f>
        <v>17</v>
      </c>
      <c r="L2">
        <f ca="1">COUNTIF($B$2:$B$111,"2")</f>
        <v>93</v>
      </c>
      <c r="M2">
        <f ca="1">COUNTIF($B$2:$B$111,"3")</f>
        <v>0</v>
      </c>
      <c r="N2">
        <f ca="1">SUM(K2:M2)</f>
        <v>110</v>
      </c>
    </row>
    <row r="3" spans="1:14">
      <c r="A3" s="59" t="s">
        <v>35</v>
      </c>
      <c r="B3" s="57">
        <f ca="1">IFERROR(__xludf.DUMMYFUNCTION("""COMPUTED_VALUE"""),1)</f>
        <v>1</v>
      </c>
      <c r="C3" s="57" t="s">
        <v>36</v>
      </c>
      <c r="D3" s="57" t="s">
        <v>682</v>
      </c>
      <c r="E3" s="57">
        <v>5</v>
      </c>
      <c r="F3" s="57" t="s">
        <v>560</v>
      </c>
      <c r="G3" s="57" t="s">
        <v>846</v>
      </c>
      <c r="H3" s="57" t="s">
        <v>847</v>
      </c>
      <c r="I3" s="57" t="s">
        <v>851</v>
      </c>
      <c r="J3" s="58" t="str">
        <f ca="1">IFERROR(__xludf.DUMMYFUNCTION("""COMPUTED_VALUE"""),"Limit information system access to the types of transactions and functions that authorized users are permitted to execute.")</f>
        <v>Limit information system access to the types of transactions and functions that authorized users are permitted to execute.</v>
      </c>
      <c r="L3">
        <f ca="1">SUM(K2+L2)</f>
        <v>110</v>
      </c>
      <c r="M3">
        <f ca="1">SUM(L3+M2)</f>
        <v>110</v>
      </c>
    </row>
    <row r="4" spans="1:14">
      <c r="A4" s="40" t="s">
        <v>38</v>
      </c>
      <c r="B4" s="38">
        <f ca="1">IFERROR(__xludf.DUMMYFUNCTION("""COMPUTED_VALUE"""),1)</f>
        <v>1</v>
      </c>
      <c r="C4" s="57" t="s">
        <v>39</v>
      </c>
      <c r="D4" s="57" t="s">
        <v>683</v>
      </c>
      <c r="E4" s="57">
        <v>1</v>
      </c>
      <c r="F4" s="57"/>
      <c r="G4" s="57" t="s">
        <v>855</v>
      </c>
      <c r="H4" s="57" t="s">
        <v>856</v>
      </c>
      <c r="I4" s="57" t="s">
        <v>857</v>
      </c>
      <c r="J4" s="39" t="str">
        <f ca="1">IFERROR(__xludf.DUMMYFUNCTION("""COMPUTED_VALUE"""),"Verify and control/limit connections to and use of external information systems.")</f>
        <v>Verify and control/limit connections to and use of external information systems.</v>
      </c>
    </row>
    <row r="5" spans="1:14">
      <c r="A5" s="40" t="s">
        <v>41</v>
      </c>
      <c r="B5" s="38">
        <f ca="1">IFERROR(__xludf.DUMMYFUNCTION("""COMPUTED_VALUE"""),1)</f>
        <v>1</v>
      </c>
      <c r="C5" s="57" t="s">
        <v>42</v>
      </c>
      <c r="D5" s="57" t="s">
        <v>684</v>
      </c>
      <c r="E5" s="57">
        <v>1</v>
      </c>
      <c r="F5" s="57"/>
      <c r="G5" s="57" t="s">
        <v>855</v>
      </c>
      <c r="H5" s="57" t="s">
        <v>856</v>
      </c>
      <c r="I5" s="57" t="s">
        <v>858</v>
      </c>
      <c r="J5" s="39" t="str">
        <f ca="1">IFERROR(__xludf.DUMMYFUNCTION("""COMPUTED_VALUE"""),"Control information posted or processed on publicly accessible information systems.")</f>
        <v>Control information posted or processed on publicly accessible information systems.</v>
      </c>
    </row>
    <row r="6" spans="1:14">
      <c r="A6" s="40" t="s">
        <v>43</v>
      </c>
      <c r="B6" s="38">
        <f ca="1">IFERROR(__xludf.DUMMYFUNCTION("""COMPUTED_VALUE"""),2)</f>
        <v>2</v>
      </c>
      <c r="C6" s="57" t="s">
        <v>44</v>
      </c>
      <c r="D6" s="57" t="s">
        <v>693</v>
      </c>
      <c r="E6" s="57">
        <v>1</v>
      </c>
      <c r="F6" s="57"/>
      <c r="G6" s="57" t="s">
        <v>855</v>
      </c>
      <c r="H6" s="57" t="s">
        <v>856</v>
      </c>
      <c r="I6" s="57" t="s">
        <v>858</v>
      </c>
      <c r="J6" s="39" t="str">
        <f ca="1">IFERROR(__xludf.DUMMYFUNCTION("""COMPUTED_VALUE"""),"Provide privacy and security notices consistent with applicable CUI rules.")</f>
        <v>Provide privacy and security notices consistent with applicable CUI rules.</v>
      </c>
    </row>
    <row r="7" spans="1:14">
      <c r="A7" s="40" t="s">
        <v>46</v>
      </c>
      <c r="B7" s="38">
        <f ca="1">IFERROR(__xludf.DUMMYFUNCTION("""COMPUTED_VALUE"""),2)</f>
        <v>2</v>
      </c>
      <c r="C7" s="57" t="s">
        <v>47</v>
      </c>
      <c r="D7" s="57" t="s">
        <v>712</v>
      </c>
      <c r="E7" s="57">
        <v>1</v>
      </c>
      <c r="F7" s="57"/>
      <c r="G7" s="57" t="s">
        <v>855</v>
      </c>
      <c r="H7" s="57" t="s">
        <v>856</v>
      </c>
      <c r="I7" s="57" t="s">
        <v>858</v>
      </c>
      <c r="J7" s="39" t="str">
        <f ca="1">IFERROR(__xludf.DUMMYFUNCTION("""COMPUTED_VALUE"""),"Limit use of portable storage devices on external systems.")</f>
        <v>Limit use of portable storage devices on external systems.</v>
      </c>
    </row>
    <row r="8" spans="1:14">
      <c r="A8" s="40" t="s">
        <v>49</v>
      </c>
      <c r="B8" s="38">
        <f ca="1">IFERROR(__xludf.DUMMYFUNCTION("""COMPUTED_VALUE"""),2)</f>
        <v>2</v>
      </c>
      <c r="C8" s="57" t="s">
        <v>50</v>
      </c>
      <c r="D8" s="57" t="s">
        <v>688</v>
      </c>
      <c r="E8" s="57">
        <v>3</v>
      </c>
      <c r="F8" s="57" t="s">
        <v>561</v>
      </c>
      <c r="G8" s="57" t="s">
        <v>846</v>
      </c>
      <c r="H8" s="57" t="s">
        <v>847</v>
      </c>
      <c r="I8" s="57" t="s">
        <v>851</v>
      </c>
      <c r="J8" s="39" t="str">
        <f ca="1">IFERROR(__xludf.DUMMYFUNCTION("""COMPUTED_VALUE"""),"Employ the principle of least privilege, including for specific security functions and privileged accounts.")</f>
        <v>Employ the principle of least privilege, including for specific security functions and privileged accounts.</v>
      </c>
    </row>
    <row r="9" spans="1:14">
      <c r="A9" s="40" t="s">
        <v>52</v>
      </c>
      <c r="B9" s="38">
        <f ca="1">IFERROR(__xludf.DUMMYFUNCTION("""COMPUTED_VALUE"""),2)</f>
        <v>2</v>
      </c>
      <c r="C9" s="57" t="s">
        <v>53</v>
      </c>
      <c r="D9" s="57" t="s">
        <v>689</v>
      </c>
      <c r="E9" s="57">
        <v>1</v>
      </c>
      <c r="F9" s="57"/>
      <c r="G9" s="57" t="s">
        <v>855</v>
      </c>
      <c r="H9" s="57" t="s">
        <v>856</v>
      </c>
      <c r="I9" s="57" t="s">
        <v>858</v>
      </c>
      <c r="J9" s="39" t="str">
        <f ca="1">IFERROR(__xludf.DUMMYFUNCTION("""COMPUTED_VALUE"""),"Use non-privileged accounts or roles when accessing nonsecurity functions.")</f>
        <v>Use non-privileged accounts or roles when accessing nonsecurity functions.</v>
      </c>
    </row>
    <row r="10" spans="1:14">
      <c r="A10" s="40" t="s">
        <v>54</v>
      </c>
      <c r="B10" s="38">
        <f ca="1">IFERROR(__xludf.DUMMYFUNCTION("""COMPUTED_VALUE"""),2)</f>
        <v>2</v>
      </c>
      <c r="C10" s="57" t="s">
        <v>55</v>
      </c>
      <c r="D10" s="57" t="s">
        <v>692</v>
      </c>
      <c r="E10" s="57">
        <v>1</v>
      </c>
      <c r="F10" s="57"/>
      <c r="G10" s="57" t="s">
        <v>846</v>
      </c>
      <c r="H10" s="57" t="s">
        <v>847</v>
      </c>
      <c r="I10" s="57" t="s">
        <v>851</v>
      </c>
      <c r="J10" s="39" t="str">
        <f ca="1">IFERROR(__xludf.DUMMYFUNCTION("""COMPUTED_VALUE"""),"Limit unsuccessful logon attempts.")</f>
        <v>Limit unsuccessful logon attempts.</v>
      </c>
    </row>
    <row r="11" spans="1:14">
      <c r="A11" s="40" t="s">
        <v>56</v>
      </c>
      <c r="B11" s="38">
        <f ca="1">IFERROR(__xludf.DUMMYFUNCTION("""COMPUTED_VALUE"""),2)</f>
        <v>2</v>
      </c>
      <c r="C11" s="57" t="s">
        <v>57</v>
      </c>
      <c r="D11" s="57" t="s">
        <v>696</v>
      </c>
      <c r="E11" s="57">
        <v>1</v>
      </c>
      <c r="F11" s="57"/>
      <c r="G11" s="57" t="s">
        <v>846</v>
      </c>
      <c r="H11" s="57" t="s">
        <v>847</v>
      </c>
      <c r="I11" s="57" t="s">
        <v>851</v>
      </c>
      <c r="J11" s="39" t="str">
        <f ca="1">IFERROR(__xludf.DUMMYFUNCTION("""COMPUTED_VALUE"""),"Use session lock with pattern-hiding displays to prevent access and viewing of data after a period of inactivity.")</f>
        <v>Use session lock with pattern-hiding displays to prevent access and viewing of data after a period of inactivity.</v>
      </c>
    </row>
    <row r="12" spans="1:14">
      <c r="A12" s="40" t="s">
        <v>58</v>
      </c>
      <c r="B12" s="38">
        <f ca="1">IFERROR(__xludf.DUMMYFUNCTION("""COMPUTED_VALUE"""),2)</f>
        <v>2</v>
      </c>
      <c r="C12" s="57" t="s">
        <v>59</v>
      </c>
      <c r="D12" s="57" t="s">
        <v>705</v>
      </c>
      <c r="E12" s="57">
        <v>5</v>
      </c>
      <c r="F12" s="57" t="s">
        <v>561</v>
      </c>
      <c r="G12" s="57" t="s">
        <v>846</v>
      </c>
      <c r="H12" s="57" t="s">
        <v>847</v>
      </c>
      <c r="I12" s="57" t="s">
        <v>851</v>
      </c>
      <c r="J12" s="39" t="str">
        <f ca="1">IFERROR(__xludf.DUMMYFUNCTION("""COMPUTED_VALUE"""),"Authorize wireless access prior to allowing such connections.")</f>
        <v>Authorize wireless access prior to allowing such connections.</v>
      </c>
    </row>
    <row r="13" spans="1:14">
      <c r="A13" s="60" t="s">
        <v>706</v>
      </c>
      <c r="B13" s="38">
        <f ca="1">IFERROR(__xludf.DUMMYFUNCTION("""COMPUTED_VALUE"""),2)</f>
        <v>2</v>
      </c>
      <c r="C13" s="57" t="s">
        <v>67</v>
      </c>
      <c r="D13" s="57" t="s">
        <v>707</v>
      </c>
      <c r="E13" s="57">
        <v>5</v>
      </c>
      <c r="F13" s="57" t="s">
        <v>561</v>
      </c>
      <c r="G13" s="57" t="s">
        <v>846</v>
      </c>
      <c r="H13" s="57" t="s">
        <v>847</v>
      </c>
      <c r="I13" s="57" t="s">
        <v>851</v>
      </c>
      <c r="J13" s="39" t="str">
        <f ca="1">IFERROR(__xludf.DUMMYFUNCTION("""COMPUTED_VALUE"""),"Protect wireless access using authentication and encryption.")</f>
        <v>Protect wireless access using authentication and encryption.</v>
      </c>
    </row>
    <row r="14" spans="1:14">
      <c r="A14" s="60" t="s">
        <v>60</v>
      </c>
      <c r="B14" s="38">
        <f ca="1">IFERROR(__xludf.DUMMYFUNCTION("""COMPUTED_VALUE"""),2)</f>
        <v>2</v>
      </c>
      <c r="C14" s="57" t="s">
        <v>61</v>
      </c>
      <c r="D14" s="57" t="s">
        <v>698</v>
      </c>
      <c r="E14" s="57">
        <v>5</v>
      </c>
      <c r="F14" s="57" t="s">
        <v>561</v>
      </c>
      <c r="G14" s="57" t="s">
        <v>855</v>
      </c>
      <c r="H14" s="57" t="s">
        <v>856</v>
      </c>
      <c r="I14" s="57" t="s">
        <v>857</v>
      </c>
      <c r="J14" s="39" t="str">
        <f ca="1">IFERROR(__xludf.DUMMYFUNCTION("""COMPUTED_VALUE"""),"Monitor and control remote access sessions.")</f>
        <v>Monitor and control remote access sessions.</v>
      </c>
    </row>
    <row r="15" spans="1:14">
      <c r="A15" s="60" t="s">
        <v>699</v>
      </c>
      <c r="B15" s="38">
        <f ca="1">IFERROR(__xludf.DUMMYFUNCTION("""COMPUTED_VALUE"""),2)</f>
        <v>2</v>
      </c>
      <c r="C15" s="57" t="s">
        <v>68</v>
      </c>
      <c r="D15" s="57" t="s">
        <v>700</v>
      </c>
      <c r="E15" s="57">
        <v>5</v>
      </c>
      <c r="F15" s="57" t="s">
        <v>561</v>
      </c>
      <c r="G15" s="57" t="s">
        <v>846</v>
      </c>
      <c r="H15" s="57" t="s">
        <v>847</v>
      </c>
      <c r="I15" s="57" t="s">
        <v>854</v>
      </c>
      <c r="J15" s="39" t="str">
        <f ca="1">IFERROR(__xludf.DUMMYFUNCTION("""COMPUTED_VALUE"""),"Employ cryptographic mechanisms to protect the confidentiality of remote access sessions.")</f>
        <v>Employ cryptographic mechanisms to protect the confidentiality of remote access sessions.</v>
      </c>
    </row>
    <row r="16" spans="1:14">
      <c r="A16" s="60" t="s">
        <v>62</v>
      </c>
      <c r="B16" s="38">
        <f ca="1">IFERROR(__xludf.DUMMYFUNCTION("""COMPUTED_VALUE"""),2)</f>
        <v>2</v>
      </c>
      <c r="C16" s="57" t="s">
        <v>63</v>
      </c>
      <c r="D16" s="57" t="s">
        <v>701</v>
      </c>
      <c r="E16" s="57">
        <v>1</v>
      </c>
      <c r="F16" s="57"/>
      <c r="G16" s="57" t="s">
        <v>846</v>
      </c>
      <c r="H16" s="57" t="s">
        <v>847</v>
      </c>
      <c r="I16" s="57" t="s">
        <v>852</v>
      </c>
      <c r="J16" s="39" t="str">
        <f ca="1">IFERROR(__xludf.DUMMYFUNCTION("""COMPUTED_VALUE"""),"Route remote access via managed access control points.")</f>
        <v>Route remote access via managed access control points.</v>
      </c>
    </row>
    <row r="17" spans="1:10">
      <c r="A17" s="60" t="s">
        <v>64</v>
      </c>
      <c r="B17" s="38">
        <f ca="1">IFERROR(__xludf.DUMMYFUNCTION("""COMPUTED_VALUE"""),2)</f>
        <v>2</v>
      </c>
      <c r="C17" s="57" t="s">
        <v>65</v>
      </c>
      <c r="D17" s="57" t="s">
        <v>685</v>
      </c>
      <c r="E17" s="57">
        <v>1</v>
      </c>
      <c r="F17" s="57"/>
      <c r="G17" s="57" t="s">
        <v>855</v>
      </c>
      <c r="H17" s="57" t="s">
        <v>856</v>
      </c>
      <c r="I17" s="57" t="s">
        <v>858</v>
      </c>
      <c r="J17" s="39" t="str">
        <f ca="1">IFERROR(__xludf.DUMMYFUNCTION("""COMPUTED_VALUE"""),"Control the flow of CUI in accordance with approved authorizations.")</f>
        <v>Control the flow of CUI in accordance with approved authorizations.</v>
      </c>
    </row>
    <row r="18" spans="1:10">
      <c r="A18" s="40" t="s">
        <v>686</v>
      </c>
      <c r="B18" s="38">
        <f ca="1">IFERROR(__xludf.DUMMYFUNCTION("""COMPUTED_VALUE"""),2)</f>
        <v>2</v>
      </c>
      <c r="C18" s="57" t="s">
        <v>69</v>
      </c>
      <c r="D18" s="57" t="s">
        <v>687</v>
      </c>
      <c r="E18" s="57">
        <v>1</v>
      </c>
      <c r="F18" s="57"/>
      <c r="G18" s="57" t="s">
        <v>846</v>
      </c>
      <c r="H18" s="57" t="s">
        <v>847</v>
      </c>
      <c r="I18" s="57" t="s">
        <v>851</v>
      </c>
      <c r="J18" s="39" t="str">
        <f ca="1">IFERROR(__xludf.DUMMYFUNCTION("""COMPUTED_VALUE"""),"Separate the duties of individuals to reduce the risk of malevolent activity without collusion.")</f>
        <v>Separate the duties of individuals to reduce the risk of malevolent activity without collusion.</v>
      </c>
    </row>
    <row r="19" spans="1:10">
      <c r="A19" s="40" t="s">
        <v>691</v>
      </c>
      <c r="B19" s="38">
        <f ca="1">IFERROR(__xludf.DUMMYFUNCTION("""COMPUTED_VALUE"""),2)</f>
        <v>2</v>
      </c>
      <c r="C19" s="57" t="s">
        <v>70</v>
      </c>
      <c r="D19" s="57" t="s">
        <v>690</v>
      </c>
      <c r="E19" s="57">
        <v>1</v>
      </c>
      <c r="F19" s="57"/>
      <c r="G19" s="57" t="s">
        <v>846</v>
      </c>
      <c r="H19" s="57" t="s">
        <v>847</v>
      </c>
      <c r="I19" s="57" t="s">
        <v>851</v>
      </c>
      <c r="J19" s="39" t="str">
        <f ca="1">IFERROR(__xludf.DUMMYFUNCTION("""COMPUTED_VALUE"""),"Prevent non-privileged users from executing privileged functions and capture the execution of such functions in audit logs.")</f>
        <v>Prevent non-privileged users from executing privileged functions and capture the execution of such functions in audit logs.</v>
      </c>
    </row>
    <row r="20" spans="1:10">
      <c r="A20" s="40" t="s">
        <v>697</v>
      </c>
      <c r="B20" s="38">
        <f ca="1">IFERROR(__xludf.DUMMYFUNCTION("""COMPUTED_VALUE"""),2)</f>
        <v>2</v>
      </c>
      <c r="C20" s="57" t="s">
        <v>71</v>
      </c>
      <c r="D20" s="57" t="s">
        <v>694</v>
      </c>
      <c r="E20" s="57">
        <v>1</v>
      </c>
      <c r="F20" s="57"/>
      <c r="G20" s="57" t="s">
        <v>846</v>
      </c>
      <c r="H20" s="57" t="s">
        <v>847</v>
      </c>
      <c r="I20" s="57" t="s">
        <v>851</v>
      </c>
      <c r="J20" s="39" t="str">
        <f ca="1">IFERROR(__xludf.DUMMYFUNCTION("""COMPUTED_VALUE"""),"Terminate (automatically) user sessions after a defined condition.")</f>
        <v>Terminate (automatically) user sessions after a defined condition.</v>
      </c>
    </row>
    <row r="21" spans="1:10">
      <c r="A21" s="40" t="s">
        <v>708</v>
      </c>
      <c r="B21" s="38">
        <f ca="1">IFERROR(__xludf.DUMMYFUNCTION("""COMPUTED_VALUE"""),2)</f>
        <v>2</v>
      </c>
      <c r="C21" s="57" t="s">
        <v>72</v>
      </c>
      <c r="D21" s="57" t="s">
        <v>709</v>
      </c>
      <c r="E21" s="57">
        <v>5</v>
      </c>
      <c r="F21" s="57" t="s">
        <v>561</v>
      </c>
      <c r="G21" s="57" t="s">
        <v>846</v>
      </c>
      <c r="H21" s="57" t="s">
        <v>847</v>
      </c>
      <c r="I21" s="57" t="s">
        <v>851</v>
      </c>
      <c r="J21" s="39" t="str">
        <f ca="1">IFERROR(__xludf.DUMMYFUNCTION("""COMPUTED_VALUE"""),"Control connection of mobile devices.")</f>
        <v>Control connection of mobile devices.</v>
      </c>
    </row>
    <row r="22" spans="1:10">
      <c r="A22" s="40" t="s">
        <v>702</v>
      </c>
      <c r="B22" s="38">
        <f ca="1">IFERROR(__xludf.DUMMYFUNCTION("""COMPUTED_VALUE"""),2)</f>
        <v>2</v>
      </c>
      <c r="C22" s="57" t="s">
        <v>73</v>
      </c>
      <c r="D22" s="57" t="s">
        <v>703</v>
      </c>
      <c r="E22" s="57">
        <v>1</v>
      </c>
      <c r="F22" s="57"/>
      <c r="G22" s="57" t="s">
        <v>846</v>
      </c>
      <c r="H22" s="57" t="s">
        <v>847</v>
      </c>
      <c r="I22" s="57" t="s">
        <v>851</v>
      </c>
      <c r="J22" s="39" t="str">
        <f ca="1">IFERROR(__xludf.DUMMYFUNCTION("""COMPUTED_VALUE"""),"Authorize remote execution of privileged commands and remote access to security-relevant information.")</f>
        <v>Authorize remote execution of privileged commands and remote access to security-relevant information.</v>
      </c>
    </row>
    <row r="23" spans="1:10">
      <c r="A23" s="40" t="s">
        <v>710</v>
      </c>
      <c r="B23" s="38">
        <f ca="1">IFERROR(__xludf.DUMMYFUNCTION("""COMPUTED_VALUE"""),2)</f>
        <v>2</v>
      </c>
      <c r="C23" s="57" t="s">
        <v>74</v>
      </c>
      <c r="D23" s="57" t="s">
        <v>711</v>
      </c>
      <c r="E23" s="57">
        <v>3</v>
      </c>
      <c r="F23" s="57" t="s">
        <v>561</v>
      </c>
      <c r="G23" s="57" t="s">
        <v>846</v>
      </c>
      <c r="H23" s="57" t="s">
        <v>847</v>
      </c>
      <c r="I23" s="57" t="s">
        <v>854</v>
      </c>
      <c r="J23" s="39" t="str">
        <f ca="1">IFERROR(__xludf.DUMMYFUNCTION("""COMPUTED_VALUE"""),"Encrypt CUI on mobile devices and mobile computing platforms.")</f>
        <v>Encrypt CUI on mobile devices and mobile computing platforms.</v>
      </c>
    </row>
    <row r="24" spans="1:10" ht="26.25">
      <c r="A24" s="38" t="s">
        <v>76</v>
      </c>
      <c r="B24" s="38">
        <f ca="1">IFERROR(__xludf.DUMMYFUNCTION("""COMPUTED_VALUE"""),2)</f>
        <v>2</v>
      </c>
      <c r="C24" s="57" t="s">
        <v>77</v>
      </c>
      <c r="D24" s="57" t="s">
        <v>727</v>
      </c>
      <c r="E24" s="57">
        <v>5</v>
      </c>
      <c r="F24" s="57" t="s">
        <v>560</v>
      </c>
      <c r="G24" s="57" t="s">
        <v>855</v>
      </c>
      <c r="H24" s="57" t="s">
        <v>856</v>
      </c>
      <c r="I24" s="57" t="s">
        <v>858</v>
      </c>
      <c r="J24" s="39" t="str">
        <f ca="1">IFERROR(__xludf.DUMMYFUNCTION("""COMPUTED_VALUE"""),"Ensure that managers, system administrators, and users of organizational systems are made aware of the security risks associated with their activities and of the applicable policies, standards, and procedures related to the security of those systems.")</f>
        <v>Ensure that managers, system administrators, and users of organizational systems are made aware of the security risks associated with their activities and of the applicable policies, standards, and procedures related to the security of those systems.</v>
      </c>
    </row>
    <row r="25" spans="1:10">
      <c r="A25" s="40" t="s">
        <v>78</v>
      </c>
      <c r="B25" s="38">
        <f ca="1">IFERROR(__xludf.DUMMYFUNCTION("""COMPUTED_VALUE"""),2)</f>
        <v>2</v>
      </c>
      <c r="C25" s="57" t="s">
        <v>79</v>
      </c>
      <c r="D25" s="57" t="s">
        <v>729</v>
      </c>
      <c r="E25" s="57">
        <v>5</v>
      </c>
      <c r="F25" s="57" t="s">
        <v>560</v>
      </c>
      <c r="G25" s="57" t="s">
        <v>855</v>
      </c>
      <c r="H25" s="57" t="s">
        <v>856</v>
      </c>
      <c r="I25" s="57" t="s">
        <v>858</v>
      </c>
      <c r="J25" s="39" t="str">
        <f ca="1">IFERROR(__xludf.DUMMYFUNCTION("""COMPUTED_VALUE"""),"Ensure that personnel are trained to carry out their assigned information security-related duties and responsibilities.")</f>
        <v>Ensure that personnel are trained to carry out their assigned information security-related duties and responsibilities.</v>
      </c>
    </row>
    <row r="26" spans="1:10">
      <c r="A26" s="40" t="s">
        <v>728</v>
      </c>
      <c r="B26" s="38">
        <f ca="1">IFERROR(__xludf.DUMMYFUNCTION("""COMPUTED_VALUE"""),2)</f>
        <v>2</v>
      </c>
      <c r="C26" s="57" t="s">
        <v>80</v>
      </c>
      <c r="D26" s="57" t="s">
        <v>730</v>
      </c>
      <c r="E26" s="57">
        <v>1</v>
      </c>
      <c r="F26" s="57"/>
      <c r="G26" s="57" t="s">
        <v>855</v>
      </c>
      <c r="H26" s="57" t="s">
        <v>856</v>
      </c>
      <c r="I26" s="57" t="s">
        <v>858</v>
      </c>
      <c r="J26" s="39" t="str">
        <f ca="1">IFERROR(__xludf.DUMMYFUNCTION("""COMPUTED_VALUE"""),"Provide security awareness training on recognizing and reporting potential indicators of insider threat.")</f>
        <v>Provide security awareness training on recognizing and reporting potential indicators of insider threat.</v>
      </c>
    </row>
    <row r="27" spans="1:10">
      <c r="A27" s="38" t="s">
        <v>81</v>
      </c>
      <c r="B27" s="38">
        <f ca="1">IFERROR(__xludf.DUMMYFUNCTION("""COMPUTED_VALUE"""),2)</f>
        <v>2</v>
      </c>
      <c r="C27" s="57" t="s">
        <v>82</v>
      </c>
      <c r="D27" s="57" t="s">
        <v>713</v>
      </c>
      <c r="E27" s="57">
        <v>3</v>
      </c>
      <c r="F27" s="57" t="s">
        <v>560</v>
      </c>
      <c r="G27" s="57" t="s">
        <v>846</v>
      </c>
      <c r="H27" s="57" t="s">
        <v>847</v>
      </c>
      <c r="I27" s="57" t="s">
        <v>851</v>
      </c>
      <c r="J27" s="39" t="str">
        <f ca="1">IFERROR(__xludf.DUMMYFUNCTION("""COMPUTED_VALUE"""),"Ensure that the actions of individual system users can be uniquely traced to those users so they can be held accountable for their actions.")</f>
        <v>Ensure that the actions of individual system users can be uniquely traced to those users so they can be held accountable for their actions.</v>
      </c>
    </row>
    <row r="28" spans="1:10">
      <c r="A28" s="40" t="s">
        <v>83</v>
      </c>
      <c r="B28" s="38">
        <f ca="1">IFERROR(__xludf.DUMMYFUNCTION("""COMPUTED_VALUE"""),2)</f>
        <v>2</v>
      </c>
      <c r="C28" s="57" t="s">
        <v>84</v>
      </c>
      <c r="D28" s="57" t="s">
        <v>695</v>
      </c>
      <c r="E28" s="57">
        <v>5</v>
      </c>
      <c r="F28" s="57" t="s">
        <v>560</v>
      </c>
      <c r="G28" s="57" t="s">
        <v>846</v>
      </c>
      <c r="H28" s="57" t="s">
        <v>847</v>
      </c>
      <c r="I28" s="57" t="s">
        <v>851</v>
      </c>
      <c r="J28" s="39" t="str">
        <f ca="1">IFERROR(__xludf.DUMMYFUNCTION("""COMPUTED_VALUE"""),"Create and retain system audit logs and records to the extent needed to enable the monitoring, analysis, investigation, and reporting of unlawful or unauthorized system activity.")</f>
        <v>Create and retain system audit logs and records to the extent needed to enable the monitoring, analysis, investigation, and reporting of unlawful or unauthorized system activity.</v>
      </c>
    </row>
    <row r="29" spans="1:10">
      <c r="A29" s="40" t="s">
        <v>85</v>
      </c>
      <c r="B29" s="38">
        <f ca="1">IFERROR(__xludf.DUMMYFUNCTION("""COMPUTED_VALUE"""),2)</f>
        <v>2</v>
      </c>
      <c r="C29" s="57" t="s">
        <v>86</v>
      </c>
      <c r="D29" s="57" t="s">
        <v>722</v>
      </c>
      <c r="E29" s="57">
        <v>1</v>
      </c>
      <c r="F29" s="57"/>
      <c r="G29" s="57" t="s">
        <v>846</v>
      </c>
      <c r="H29" s="57" t="s">
        <v>847</v>
      </c>
      <c r="I29" s="57" t="s">
        <v>851</v>
      </c>
      <c r="J29" s="39" t="str">
        <f ca="1">IFERROR(__xludf.DUMMYFUNCTION("""COMPUTED_VALUE"""),"Provide a system capability that compares and synchronizes internal system clocks with an authoritative source to generate time stamps for audit records.")</f>
        <v>Provide a system capability that compares and synchronizes internal system clocks with an authoritative source to generate time stamps for audit records.</v>
      </c>
    </row>
    <row r="30" spans="1:10">
      <c r="A30" s="40" t="s">
        <v>714</v>
      </c>
      <c r="B30" s="38">
        <f ca="1">IFERROR(__xludf.DUMMYFUNCTION("""COMPUTED_VALUE"""),2)</f>
        <v>2</v>
      </c>
      <c r="C30" s="57" t="s">
        <v>87</v>
      </c>
      <c r="D30" s="57" t="s">
        <v>715</v>
      </c>
      <c r="E30" s="57">
        <v>1</v>
      </c>
      <c r="F30" s="57"/>
      <c r="G30" s="57" t="s">
        <v>855</v>
      </c>
      <c r="H30" s="57" t="s">
        <v>856</v>
      </c>
      <c r="I30" s="57" t="s">
        <v>857</v>
      </c>
      <c r="J30" s="39" t="str">
        <f ca="1">IFERROR(__xludf.DUMMYFUNCTION("""COMPUTED_VALUE"""),"Review and update logged events.")</f>
        <v>Review and update logged events.</v>
      </c>
    </row>
    <row r="31" spans="1:10">
      <c r="A31" s="40" t="s">
        <v>716</v>
      </c>
      <c r="B31" s="38">
        <f ca="1">IFERROR(__xludf.DUMMYFUNCTION("""COMPUTED_VALUE"""),2)</f>
        <v>2</v>
      </c>
      <c r="C31" s="57" t="s">
        <v>88</v>
      </c>
      <c r="D31" s="57" t="s">
        <v>717</v>
      </c>
      <c r="E31" s="57">
        <v>1</v>
      </c>
      <c r="F31" s="57"/>
      <c r="G31" s="57" t="s">
        <v>846</v>
      </c>
      <c r="H31" s="57" t="s">
        <v>847</v>
      </c>
      <c r="I31" s="57" t="s">
        <v>851</v>
      </c>
      <c r="J31" s="39" t="str">
        <f ca="1">IFERROR(__xludf.DUMMYFUNCTION("""COMPUTED_VALUE"""),"Alert in the event of an audit logging process failure.")</f>
        <v>Alert in the event of an audit logging process failure.</v>
      </c>
    </row>
    <row r="32" spans="1:10">
      <c r="A32" s="40" t="s">
        <v>723</v>
      </c>
      <c r="B32" s="38">
        <f ca="1">IFERROR(__xludf.DUMMYFUNCTION("""COMPUTED_VALUE"""),2)</f>
        <v>2</v>
      </c>
      <c r="C32" s="57" t="s">
        <v>89</v>
      </c>
      <c r="D32" s="57" t="s">
        <v>724</v>
      </c>
      <c r="E32" s="57">
        <v>1</v>
      </c>
      <c r="F32" s="57"/>
      <c r="G32" s="57" t="s">
        <v>846</v>
      </c>
      <c r="H32" s="57" t="s">
        <v>847</v>
      </c>
      <c r="I32" s="57" t="s">
        <v>851</v>
      </c>
      <c r="J32" s="39" t="str">
        <f ca="1">IFERROR(__xludf.DUMMYFUNCTION("""COMPUTED_VALUE"""),"Protect audit information and audit logging tools from unauthorized access, modification, and deletion.")</f>
        <v>Protect audit information and audit logging tools from unauthorized access, modification, and deletion.</v>
      </c>
    </row>
    <row r="33" spans="1:10">
      <c r="A33" s="40" t="s">
        <v>725</v>
      </c>
      <c r="B33" s="38">
        <f ca="1">IFERROR(__xludf.DUMMYFUNCTION("""COMPUTED_VALUE"""),2)</f>
        <v>2</v>
      </c>
      <c r="C33" s="57" t="s">
        <v>90</v>
      </c>
      <c r="D33" s="57" t="s">
        <v>726</v>
      </c>
      <c r="E33" s="57">
        <v>1</v>
      </c>
      <c r="F33" s="57"/>
      <c r="G33" s="57" t="s">
        <v>846</v>
      </c>
      <c r="H33" s="57" t="s">
        <v>847</v>
      </c>
      <c r="I33" s="57" t="s">
        <v>851</v>
      </c>
      <c r="J33" s="39" t="str">
        <f ca="1">IFERROR(__xludf.DUMMYFUNCTION("""COMPUTED_VALUE"""),"Limit management of audit logging functionality to a subset of privileged users.")</f>
        <v>Limit management of audit logging functionality to a subset of privileged users.</v>
      </c>
    </row>
    <row r="34" spans="1:10">
      <c r="A34" s="40" t="s">
        <v>718</v>
      </c>
      <c r="B34" s="38">
        <f ca="1">IFERROR(__xludf.DUMMYFUNCTION("""COMPUTED_VALUE"""),2)</f>
        <v>2</v>
      </c>
      <c r="C34" s="57" t="s">
        <v>91</v>
      </c>
      <c r="D34" s="57" t="s">
        <v>719</v>
      </c>
      <c r="E34" s="57">
        <v>5</v>
      </c>
      <c r="F34" s="57" t="s">
        <v>561</v>
      </c>
      <c r="G34" s="57" t="s">
        <v>855</v>
      </c>
      <c r="H34" s="57" t="s">
        <v>856</v>
      </c>
      <c r="I34" s="57" t="s">
        <v>857</v>
      </c>
      <c r="J34" s="39" t="str">
        <f ca="1">IFERROR(__xludf.DUMMYFUNCTION("""COMPUTED_VALUE"""),"Correlate audit record review, analysis, and reporting processes for investigation and response to indications of unlawful, unauthorized, suspicious, or unusual activity.")</f>
        <v>Correlate audit record review, analysis, and reporting processes for investigation and response to indications of unlawful, unauthorized, suspicious, or unusual activity.</v>
      </c>
    </row>
    <row r="35" spans="1:10">
      <c r="A35" s="40" t="s">
        <v>720</v>
      </c>
      <c r="B35" s="38">
        <f ca="1">IFERROR(__xludf.DUMMYFUNCTION("""COMPUTED_VALUE"""),2)</f>
        <v>2</v>
      </c>
      <c r="C35" s="57" t="s">
        <v>92</v>
      </c>
      <c r="D35" s="57" t="s">
        <v>721</v>
      </c>
      <c r="E35" s="57">
        <v>1</v>
      </c>
      <c r="F35" s="57"/>
      <c r="G35" s="57" t="s">
        <v>846</v>
      </c>
      <c r="H35" s="57" t="s">
        <v>847</v>
      </c>
      <c r="I35" s="57" t="s">
        <v>854</v>
      </c>
      <c r="J35" s="39" t="str">
        <f ca="1">IFERROR(__xludf.DUMMYFUNCTION("""COMPUTED_VALUE"""),"Provide audit record reduction and report generation to support on-demand analysis and reporting.")</f>
        <v>Provide audit record reduction and report generation to support on-demand analysis and reporting.</v>
      </c>
    </row>
    <row r="36" spans="1:10" ht="26.25">
      <c r="A36" s="38" t="s">
        <v>93</v>
      </c>
      <c r="B36" s="38">
        <f ca="1">IFERROR(__xludf.DUMMYFUNCTION("""COMPUTED_VALUE"""),2)</f>
        <v>2</v>
      </c>
      <c r="C36" s="57" t="s">
        <v>94</v>
      </c>
      <c r="D36" s="57" t="s">
        <v>802</v>
      </c>
      <c r="E36" s="72" t="s">
        <v>838</v>
      </c>
      <c r="F36" s="57" t="s">
        <v>560</v>
      </c>
      <c r="G36" s="57" t="s">
        <v>841</v>
      </c>
      <c r="H36" s="57" t="s">
        <v>843</v>
      </c>
      <c r="I36" s="57" t="s">
        <v>845</v>
      </c>
      <c r="J36" s="39" t="str">
        <f ca="1">IFERROR(__xludf.DUMMYFUNCTION("""COMPUTED_VALUE"""),"Develop, document, and periodically update system security plans that describe system boundaries, system environments of operation, how security requirements are implemented, and the relationships with or connections to other systems.")</f>
        <v>Develop, document, and periodically update system security plans that describe system boundaries, system environments of operation, how security requirements are implemented, and the relationships with or connections to other systems.</v>
      </c>
    </row>
    <row r="37" spans="1:10">
      <c r="A37" s="40" t="s">
        <v>96</v>
      </c>
      <c r="B37" s="38">
        <f ca="1">IFERROR(__xludf.DUMMYFUNCTION("""COMPUTED_VALUE"""),2)</f>
        <v>2</v>
      </c>
      <c r="C37" s="57" t="s">
        <v>97</v>
      </c>
      <c r="D37" s="57" t="s">
        <v>799</v>
      </c>
      <c r="E37" s="57">
        <v>5</v>
      </c>
      <c r="F37" s="57" t="s">
        <v>560</v>
      </c>
      <c r="G37" s="57" t="s">
        <v>855</v>
      </c>
      <c r="H37" s="57" t="s">
        <v>856</v>
      </c>
      <c r="I37" s="57" t="s">
        <v>857</v>
      </c>
      <c r="J37" s="39" t="str">
        <f ca="1">IFERROR(__xludf.DUMMYFUNCTION("""COMPUTED_VALUE"""),"Periodically assess the security controls in organizational systems to determine if the controls are effective in their application.")</f>
        <v>Periodically assess the security controls in organizational systems to determine if the controls are effective in their application.</v>
      </c>
    </row>
    <row r="38" spans="1:10">
      <c r="A38" s="40" t="s">
        <v>98</v>
      </c>
      <c r="B38" s="38">
        <f ca="1">IFERROR(__xludf.DUMMYFUNCTION("""COMPUTED_VALUE"""),2)</f>
        <v>2</v>
      </c>
      <c r="C38" s="57" t="s">
        <v>99</v>
      </c>
      <c r="D38" s="57" t="s">
        <v>800</v>
      </c>
      <c r="E38" s="57">
        <v>3</v>
      </c>
      <c r="F38" s="57" t="s">
        <v>560</v>
      </c>
      <c r="G38" s="57" t="s">
        <v>841</v>
      </c>
      <c r="H38" s="57" t="s">
        <v>843</v>
      </c>
      <c r="I38" s="57" t="s">
        <v>845</v>
      </c>
      <c r="J38" s="39" t="str">
        <f ca="1">IFERROR(__xludf.DUMMYFUNCTION("""COMPUTED_VALUE"""),"Develop and implement plans of action designed to correct deficiencies and reduce or eliminate vulnerabilities in organizational systems.")</f>
        <v>Develop and implement plans of action designed to correct deficiencies and reduce or eliminate vulnerabilities in organizational systems.</v>
      </c>
    </row>
    <row r="39" spans="1:10">
      <c r="A39" s="40" t="s">
        <v>798</v>
      </c>
      <c r="B39" s="38">
        <f ca="1">IFERROR(__xludf.DUMMYFUNCTION("""COMPUTED_VALUE"""),2)</f>
        <v>2</v>
      </c>
      <c r="C39" s="57" t="s">
        <v>100</v>
      </c>
      <c r="D39" s="57" t="s">
        <v>801</v>
      </c>
      <c r="E39" s="57">
        <v>5</v>
      </c>
      <c r="F39" s="57" t="s">
        <v>560</v>
      </c>
      <c r="G39" s="57" t="s">
        <v>841</v>
      </c>
      <c r="H39" s="57" t="s">
        <v>843</v>
      </c>
      <c r="I39" s="57" t="s">
        <v>845</v>
      </c>
      <c r="J39" s="39" t="str">
        <f ca="1">IFERROR(__xludf.DUMMYFUNCTION("""COMPUTED_VALUE"""),"Monitor security controls on an ongoing basis to ensure the continued effectiveness of the controls.")</f>
        <v>Monitor security controls on an ongoing basis to ensure the continued effectiveness of the controls.</v>
      </c>
    </row>
    <row r="40" spans="1:10" ht="26.25">
      <c r="A40" s="38" t="s">
        <v>101</v>
      </c>
      <c r="B40" s="38">
        <f ca="1">IFERROR(__xludf.DUMMYFUNCTION("""COMPUTED_VALUE"""),2)</f>
        <v>2</v>
      </c>
      <c r="C40" s="57" t="s">
        <v>102</v>
      </c>
      <c r="D40" s="57" t="s">
        <v>731</v>
      </c>
      <c r="E40" s="57">
        <v>5</v>
      </c>
      <c r="F40" s="57" t="s">
        <v>560</v>
      </c>
      <c r="G40" s="57" t="s">
        <v>855</v>
      </c>
      <c r="H40" s="57" t="s">
        <v>856</v>
      </c>
      <c r="I40" s="57" t="s">
        <v>857</v>
      </c>
      <c r="J40" s="39" t="str">
        <f ca="1">IFERROR(__xludf.DUMMYFUNCTION("""COMPUTED_VALUE"""),"Establish and maintain baseline configurations and inventories of organizational systems (including hardware, software, firmware, and documentation) throughout the respective system development life cycles.")</f>
        <v>Establish and maintain baseline configurations and inventories of organizational systems (including hardware, software, firmware, and documentation) throughout the respective system development life cycles.</v>
      </c>
    </row>
    <row r="41" spans="1:10">
      <c r="A41" s="40" t="s">
        <v>103</v>
      </c>
      <c r="B41" s="38">
        <f ca="1">IFERROR(__xludf.DUMMYFUNCTION("""COMPUTED_VALUE"""),2)</f>
        <v>2</v>
      </c>
      <c r="C41" s="57" t="s">
        <v>104</v>
      </c>
      <c r="D41" s="57" t="s">
        <v>737</v>
      </c>
      <c r="E41" s="57">
        <v>5</v>
      </c>
      <c r="F41" s="57" t="s">
        <v>561</v>
      </c>
      <c r="G41" s="57" t="s">
        <v>846</v>
      </c>
      <c r="H41" s="57" t="s">
        <v>847</v>
      </c>
      <c r="I41" s="57" t="s">
        <v>851</v>
      </c>
      <c r="J41" s="39" t="str">
        <f ca="1">IFERROR(__xludf.DUMMYFUNCTION("""COMPUTED_VALUE"""),"Employ the principle of least functionality by configuring organizational systems to provide only essential capabilities.")</f>
        <v>Employ the principle of least functionality by configuring organizational systems to provide only essential capabilities.</v>
      </c>
    </row>
    <row r="42" spans="1:10">
      <c r="A42" s="40" t="s">
        <v>105</v>
      </c>
      <c r="B42" s="38">
        <f ca="1">IFERROR(__xludf.DUMMYFUNCTION("""COMPUTED_VALUE"""),2)</f>
        <v>2</v>
      </c>
      <c r="C42" s="57" t="s">
        <v>106</v>
      </c>
      <c r="D42" s="57" t="s">
        <v>742</v>
      </c>
      <c r="E42" s="57">
        <v>1</v>
      </c>
      <c r="F42" s="57"/>
      <c r="G42" s="57" t="s">
        <v>846</v>
      </c>
      <c r="H42" s="57" t="s">
        <v>847</v>
      </c>
      <c r="I42" s="57" t="s">
        <v>850</v>
      </c>
      <c r="J42" s="39" t="str">
        <f ca="1">IFERROR(__xludf.DUMMYFUNCTION("""COMPUTED_VALUE"""),"Control and monitor user-installed software.")</f>
        <v>Control and monitor user-installed software.</v>
      </c>
    </row>
    <row r="43" spans="1:10">
      <c r="A43" s="40" t="s">
        <v>107</v>
      </c>
      <c r="B43" s="38">
        <f ca="1">IFERROR(__xludf.DUMMYFUNCTION("""COMPUTED_VALUE"""),2)</f>
        <v>2</v>
      </c>
      <c r="C43" s="57" t="s">
        <v>108</v>
      </c>
      <c r="D43" s="57" t="s">
        <v>732</v>
      </c>
      <c r="E43" s="57">
        <v>5</v>
      </c>
      <c r="F43" s="57" t="s">
        <v>560</v>
      </c>
      <c r="G43" s="57" t="s">
        <v>846</v>
      </c>
      <c r="H43" s="57" t="s">
        <v>847</v>
      </c>
      <c r="I43" s="57" t="s">
        <v>850</v>
      </c>
      <c r="J43" s="39" t="str">
        <f ca="1">IFERROR(__xludf.DUMMYFUNCTION("""COMPUTED_VALUE"""),"Establish and enforce security configuration settings for information technology products employed in organizational systems.")</f>
        <v>Establish and enforce security configuration settings for information technology products employed in organizational systems.</v>
      </c>
    </row>
    <row r="44" spans="1:10">
      <c r="A44" s="40" t="s">
        <v>109</v>
      </c>
      <c r="B44" s="38">
        <f ca="1">IFERROR(__xludf.DUMMYFUNCTION("""COMPUTED_VALUE"""),2)</f>
        <v>2</v>
      </c>
      <c r="C44" s="57" t="s">
        <v>110</v>
      </c>
      <c r="D44" s="57" t="s">
        <v>733</v>
      </c>
      <c r="E44" s="57">
        <v>1</v>
      </c>
      <c r="F44" s="57"/>
      <c r="G44" s="57" t="s">
        <v>855</v>
      </c>
      <c r="H44" s="57" t="s">
        <v>856</v>
      </c>
      <c r="I44" s="57" t="s">
        <v>858</v>
      </c>
      <c r="J44" s="39" t="str">
        <f ca="1">IFERROR(__xludf.DUMMYFUNCTION("""COMPUTED_VALUE"""),"Track, review, approve, or disapprove, and log changes to organizational systems.")</f>
        <v>Track, review, approve, or disapprove, and log changes to organizational systems.</v>
      </c>
    </row>
    <row r="45" spans="1:10">
      <c r="A45" s="40" t="s">
        <v>111</v>
      </c>
      <c r="B45" s="38">
        <f ca="1">IFERROR(__xludf.DUMMYFUNCTION("""COMPUTED_VALUE"""),2)</f>
        <v>2</v>
      </c>
      <c r="C45" s="57" t="s">
        <v>112</v>
      </c>
      <c r="D45" s="57" t="s">
        <v>734</v>
      </c>
      <c r="E45" s="57">
        <v>1</v>
      </c>
      <c r="F45" s="57"/>
      <c r="G45" s="57" t="s">
        <v>855</v>
      </c>
      <c r="H45" s="57" t="s">
        <v>856</v>
      </c>
      <c r="I45" s="57" t="s">
        <v>857</v>
      </c>
      <c r="J45" s="39" t="str">
        <f ca="1">IFERROR(__xludf.DUMMYFUNCTION("""COMPUTED_VALUE"""),"Analyze the security impact of changes prior to implementation.")</f>
        <v>Analyze the security impact of changes prior to implementation.</v>
      </c>
    </row>
    <row r="46" spans="1:10">
      <c r="A46" s="40" t="s">
        <v>735</v>
      </c>
      <c r="B46" s="38">
        <f ca="1">IFERROR(__xludf.DUMMYFUNCTION("""COMPUTED_VALUE"""),2)</f>
        <v>2</v>
      </c>
      <c r="C46" s="57" t="s">
        <v>113</v>
      </c>
      <c r="D46" s="57" t="s">
        <v>736</v>
      </c>
      <c r="E46" s="57">
        <v>5</v>
      </c>
      <c r="F46" s="57" t="s">
        <v>561</v>
      </c>
      <c r="G46" s="57" t="s">
        <v>855</v>
      </c>
      <c r="H46" s="57" t="s">
        <v>856</v>
      </c>
      <c r="I46" s="57" t="s">
        <v>858</v>
      </c>
      <c r="J46" s="39" t="str">
        <f ca="1">IFERROR(__xludf.DUMMYFUNCTION("""COMPUTED_VALUE"""),"Define, document, approve, and enforce physical and logical access restrictions associated with changes to organizational systems.")</f>
        <v>Define, document, approve, and enforce physical and logical access restrictions associated with changes to organizational systems.</v>
      </c>
    </row>
    <row r="47" spans="1:10">
      <c r="A47" s="40" t="s">
        <v>738</v>
      </c>
      <c r="B47" s="38">
        <f ca="1">IFERROR(__xludf.DUMMYFUNCTION("""COMPUTED_VALUE"""),2)</f>
        <v>2</v>
      </c>
      <c r="C47" s="57" t="s">
        <v>114</v>
      </c>
      <c r="D47" s="57" t="s">
        <v>739</v>
      </c>
      <c r="E47" s="57">
        <v>5</v>
      </c>
      <c r="F47" s="57" t="s">
        <v>561</v>
      </c>
      <c r="G47" s="57" t="s">
        <v>846</v>
      </c>
      <c r="H47" s="57" t="s">
        <v>847</v>
      </c>
      <c r="I47" s="57" t="s">
        <v>850</v>
      </c>
      <c r="J47" s="39" t="str">
        <f ca="1">IFERROR(__xludf.DUMMYFUNCTION("""COMPUTED_VALUE"""),"Restrict, disable, or prevent the use of nonessential programs, functions, ports, protocols, and services.")</f>
        <v>Restrict, disable, or prevent the use of nonessential programs, functions, ports, protocols, and services.</v>
      </c>
    </row>
    <row r="48" spans="1:10" ht="30.75" customHeight="1">
      <c r="A48" s="60" t="s">
        <v>740</v>
      </c>
      <c r="B48" s="61">
        <f ca="1">IFERROR(__xludf.DUMMYFUNCTION("""COMPUTED_VALUE"""),2)</f>
        <v>2</v>
      </c>
      <c r="C48" s="62" t="s">
        <v>115</v>
      </c>
      <c r="D48" s="57" t="s">
        <v>741</v>
      </c>
      <c r="E48" s="62">
        <v>5</v>
      </c>
      <c r="F48" s="62" t="s">
        <v>561</v>
      </c>
      <c r="G48" s="57" t="s">
        <v>846</v>
      </c>
      <c r="H48" s="57" t="s">
        <v>847</v>
      </c>
      <c r="I48" s="57" t="s">
        <v>850</v>
      </c>
      <c r="J48" s="39" t="str">
        <f ca="1">IFERROR(__xludf.DUMMYFUNCTION("""COMPUTED_VALUE"""),"Apply deny-by-exception (blacklisting) policy to prevent the use of unauthorized software or denyall, permit-by-exception (whitelisting) policy to allow the execution of authorized software.")</f>
        <v>Apply deny-by-exception (blacklisting) policy to prevent the use of unauthorized software or denyall, permit-by-exception (whitelisting) policy to allow the execution of authorized software.</v>
      </c>
    </row>
    <row r="49" spans="1:10">
      <c r="A49" s="38" t="s">
        <v>116</v>
      </c>
      <c r="B49" s="38">
        <f ca="1">IFERROR(__xludf.DUMMYFUNCTION("""COMPUTED_VALUE"""),1)</f>
        <v>1</v>
      </c>
      <c r="C49" s="57" t="s">
        <v>117</v>
      </c>
      <c r="D49" s="57" t="s">
        <v>743</v>
      </c>
      <c r="E49" s="57">
        <v>5</v>
      </c>
      <c r="F49" s="57" t="s">
        <v>560</v>
      </c>
      <c r="G49" s="57" t="s">
        <v>846</v>
      </c>
      <c r="H49" s="57" t="s">
        <v>847</v>
      </c>
      <c r="I49" s="57" t="s">
        <v>851</v>
      </c>
      <c r="J49" s="39" t="str">
        <f ca="1">IFERROR(__xludf.DUMMYFUNCTION("""COMPUTED_VALUE"""),"Identify information system users, processes acting on behalf of users, or devices.")</f>
        <v>Identify information system users, processes acting on behalf of users, or devices.</v>
      </c>
    </row>
    <row r="50" spans="1:10">
      <c r="A50" s="40" t="s">
        <v>118</v>
      </c>
      <c r="B50" s="38">
        <f ca="1">IFERROR(__xludf.DUMMYFUNCTION("""COMPUTED_VALUE"""),1)</f>
        <v>1</v>
      </c>
      <c r="C50" s="57" t="s">
        <v>119</v>
      </c>
      <c r="D50" s="57" t="s">
        <v>744</v>
      </c>
      <c r="E50" s="57">
        <v>5</v>
      </c>
      <c r="F50" s="57" t="s">
        <v>560</v>
      </c>
      <c r="G50" s="57" t="s">
        <v>846</v>
      </c>
      <c r="H50" s="57" t="s">
        <v>847</v>
      </c>
      <c r="I50" s="57" t="s">
        <v>851</v>
      </c>
      <c r="J50" s="39" t="str">
        <f ca="1">IFERROR(__xludf.DUMMYFUNCTION("""COMPUTED_VALUE"""),"Authenticate (or verify) the identities of those users, processes, or devices, as a prerequisite to allowing access to organizational information systems.")</f>
        <v>Authenticate (or verify) the identities of those users, processes, or devices, as a prerequisite to allowing access to organizational information systems.</v>
      </c>
    </row>
    <row r="51" spans="1:10">
      <c r="A51" s="40" t="s">
        <v>120</v>
      </c>
      <c r="B51" s="38">
        <f ca="1">IFERROR(__xludf.DUMMYFUNCTION("""COMPUTED_VALUE"""),2)</f>
        <v>2</v>
      </c>
      <c r="C51" s="57" t="s">
        <v>121</v>
      </c>
      <c r="D51" s="57" t="s">
        <v>753</v>
      </c>
      <c r="E51" s="57">
        <v>1</v>
      </c>
      <c r="F51" s="57"/>
      <c r="G51" s="57" t="s">
        <v>846</v>
      </c>
      <c r="H51" s="57" t="s">
        <v>847</v>
      </c>
      <c r="I51" s="57" t="s">
        <v>851</v>
      </c>
      <c r="J51" s="39" t="str">
        <f ca="1">IFERROR(__xludf.DUMMYFUNCTION("""COMPUTED_VALUE"""),"Enforce a minimum password complexity and change of characters when new passwords are created.")</f>
        <v>Enforce a minimum password complexity and change of characters when new passwords are created.</v>
      </c>
    </row>
    <row r="52" spans="1:10">
      <c r="A52" s="40" t="s">
        <v>122</v>
      </c>
      <c r="B52" s="38">
        <f ca="1">IFERROR(__xludf.DUMMYFUNCTION("""COMPUTED_VALUE"""),2)</f>
        <v>2</v>
      </c>
      <c r="C52" s="57" t="s">
        <v>123</v>
      </c>
      <c r="D52" s="57" t="s">
        <v>754</v>
      </c>
      <c r="E52" s="57">
        <v>1</v>
      </c>
      <c r="F52" s="57"/>
      <c r="G52" s="57" t="s">
        <v>846</v>
      </c>
      <c r="H52" s="57" t="s">
        <v>847</v>
      </c>
      <c r="I52" s="57" t="s">
        <v>851</v>
      </c>
      <c r="J52" s="39" t="str">
        <f ca="1">IFERROR(__xludf.DUMMYFUNCTION("""COMPUTED_VALUE"""),"Prohibit password reuse for a specified number of generations.")</f>
        <v>Prohibit password reuse for a specified number of generations.</v>
      </c>
    </row>
    <row r="53" spans="1:10">
      <c r="A53" s="40" t="s">
        <v>124</v>
      </c>
      <c r="B53" s="38">
        <f ca="1">IFERROR(__xludf.DUMMYFUNCTION("""COMPUTED_VALUE"""),2)</f>
        <v>2</v>
      </c>
      <c r="C53" s="57" t="s">
        <v>125</v>
      </c>
      <c r="D53" s="57" t="s">
        <v>755</v>
      </c>
      <c r="E53" s="57">
        <v>1</v>
      </c>
      <c r="F53" s="57"/>
      <c r="G53" s="57" t="s">
        <v>846</v>
      </c>
      <c r="H53" s="57" t="s">
        <v>847</v>
      </c>
      <c r="I53" s="57" t="s">
        <v>851</v>
      </c>
      <c r="J53" s="39" t="str">
        <f ca="1">IFERROR(__xludf.DUMMYFUNCTION("""COMPUTED_VALUE"""),"Allow temporary password use for system logons with an immediate change to a permanent password.")</f>
        <v>Allow temporary password use for system logons with an immediate change to a permanent password.</v>
      </c>
    </row>
    <row r="54" spans="1:10">
      <c r="A54" s="40" t="s">
        <v>126</v>
      </c>
      <c r="B54" s="38">
        <f ca="1">IFERROR(__xludf.DUMMYFUNCTION("""COMPUTED_VALUE"""),2)</f>
        <v>2</v>
      </c>
      <c r="C54" s="57" t="s">
        <v>127</v>
      </c>
      <c r="D54" s="57" t="s">
        <v>756</v>
      </c>
      <c r="E54" s="57">
        <v>5</v>
      </c>
      <c r="F54" s="57" t="s">
        <v>561</v>
      </c>
      <c r="G54" s="57" t="s">
        <v>846</v>
      </c>
      <c r="H54" s="57" t="s">
        <v>847</v>
      </c>
      <c r="I54" s="57" t="s">
        <v>851</v>
      </c>
      <c r="J54" s="39" t="str">
        <f ca="1">IFERROR(__xludf.DUMMYFUNCTION("""COMPUTED_VALUE"""),"Store and transmit only cryptographically-protected passwords.")</f>
        <v>Store and transmit only cryptographically-protected passwords.</v>
      </c>
    </row>
    <row r="55" spans="1:10">
      <c r="A55" s="40" t="s">
        <v>128</v>
      </c>
      <c r="B55" s="38">
        <f ca="1">IFERROR(__xludf.DUMMYFUNCTION("""COMPUTED_VALUE"""),2)</f>
        <v>2</v>
      </c>
      <c r="C55" s="57" t="s">
        <v>129</v>
      </c>
      <c r="D55" s="57" t="s">
        <v>757</v>
      </c>
      <c r="E55" s="57">
        <v>1</v>
      </c>
      <c r="F55" s="57"/>
      <c r="G55" s="57" t="s">
        <v>846</v>
      </c>
      <c r="H55" s="57" t="s">
        <v>847</v>
      </c>
      <c r="I55" s="57" t="s">
        <v>851</v>
      </c>
      <c r="J55" s="39" t="str">
        <f ca="1">IFERROR(__xludf.DUMMYFUNCTION("""COMPUTED_VALUE"""),"Obscure feedback of authentication information.")</f>
        <v>Obscure feedback of authentication information.</v>
      </c>
    </row>
    <row r="56" spans="1:10">
      <c r="A56" s="40" t="s">
        <v>745</v>
      </c>
      <c r="B56" s="38">
        <f ca="1">IFERROR(__xludf.DUMMYFUNCTION("""COMPUTED_VALUE"""),2)</f>
        <v>2</v>
      </c>
      <c r="C56" s="57" t="s">
        <v>130</v>
      </c>
      <c r="D56" s="57" t="s">
        <v>746</v>
      </c>
      <c r="E56" s="57" t="s">
        <v>839</v>
      </c>
      <c r="F56" s="57"/>
      <c r="G56" s="57" t="s">
        <v>846</v>
      </c>
      <c r="H56" s="57" t="s">
        <v>847</v>
      </c>
      <c r="I56" s="57" t="s">
        <v>853</v>
      </c>
      <c r="J56" s="39" t="str">
        <f ca="1">IFERROR(__xludf.DUMMYFUNCTION("""COMPUTED_VALUE"""),"Use multifactor authentication for local and network access to privileged accounts and for network access to non-privileged accounts.")</f>
        <v>Use multifactor authentication for local and network access to privileged accounts and for network access to non-privileged accounts.</v>
      </c>
    </row>
    <row r="57" spans="1:10">
      <c r="A57" s="40" t="s">
        <v>747</v>
      </c>
      <c r="B57" s="38">
        <f ca="1">IFERROR(__xludf.DUMMYFUNCTION("""COMPUTED_VALUE"""),2)</f>
        <v>2</v>
      </c>
      <c r="C57" s="57" t="s">
        <v>132</v>
      </c>
      <c r="D57" s="57" t="s">
        <v>748</v>
      </c>
      <c r="E57" s="57">
        <v>1</v>
      </c>
      <c r="F57" s="57"/>
      <c r="G57" s="57" t="s">
        <v>846</v>
      </c>
      <c r="H57" s="57" t="s">
        <v>847</v>
      </c>
      <c r="I57" s="57" t="s">
        <v>849</v>
      </c>
      <c r="J57" s="39" t="str">
        <f ca="1">IFERROR(__xludf.DUMMYFUNCTION("""COMPUTED_VALUE"""),"Employ replay-resistant authentication mechanisms for network access to privileged and nonprivileged accounts.")</f>
        <v>Employ replay-resistant authentication mechanisms for network access to privileged and nonprivileged accounts.</v>
      </c>
    </row>
    <row r="58" spans="1:10">
      <c r="A58" s="40" t="s">
        <v>749</v>
      </c>
      <c r="B58" s="38">
        <f ca="1">IFERROR(__xludf.DUMMYFUNCTION("""COMPUTED_VALUE"""),2)</f>
        <v>2</v>
      </c>
      <c r="C58" s="57" t="s">
        <v>133</v>
      </c>
      <c r="D58" s="57" t="s">
        <v>750</v>
      </c>
      <c r="E58" s="57">
        <v>1</v>
      </c>
      <c r="F58" s="57"/>
      <c r="G58" s="57" t="s">
        <v>846</v>
      </c>
      <c r="H58" s="57" t="s">
        <v>847</v>
      </c>
      <c r="I58" s="57" t="s">
        <v>851</v>
      </c>
      <c r="J58" s="39" t="str">
        <f ca="1">IFERROR(__xludf.DUMMYFUNCTION("""COMPUTED_VALUE"""),"Prevent the reuse of identifiers for a defined period.")</f>
        <v>Prevent the reuse of identifiers for a defined period.</v>
      </c>
    </row>
    <row r="59" spans="1:10">
      <c r="A59" s="40" t="s">
        <v>751</v>
      </c>
      <c r="B59" s="38">
        <f ca="1">IFERROR(__xludf.DUMMYFUNCTION("""COMPUTED_VALUE"""),2)</f>
        <v>2</v>
      </c>
      <c r="C59" s="57" t="s">
        <v>134</v>
      </c>
      <c r="D59" s="57" t="s">
        <v>752</v>
      </c>
      <c r="E59" s="57">
        <v>1</v>
      </c>
      <c r="F59" s="57"/>
      <c r="G59" s="57" t="s">
        <v>846</v>
      </c>
      <c r="H59" s="57" t="s">
        <v>847</v>
      </c>
      <c r="I59" s="57" t="s">
        <v>851</v>
      </c>
      <c r="J59" s="39" t="str">
        <f ca="1">IFERROR(__xludf.DUMMYFUNCTION("""COMPUTED_VALUE"""),"Disable identifiers after a defined period of inactivity.")</f>
        <v>Disable identifiers after a defined period of inactivity.</v>
      </c>
    </row>
    <row r="60" spans="1:10" ht="32.25" customHeight="1">
      <c r="A60" s="38" t="s">
        <v>135</v>
      </c>
      <c r="B60" s="38">
        <f ca="1">IFERROR(__xludf.DUMMYFUNCTION("""COMPUTED_VALUE"""),2)</f>
        <v>2</v>
      </c>
      <c r="C60" s="57" t="s">
        <v>136</v>
      </c>
      <c r="D60" s="57" t="s">
        <v>760</v>
      </c>
      <c r="E60" s="57">
        <v>5</v>
      </c>
      <c r="F60" s="57" t="s">
        <v>560</v>
      </c>
      <c r="G60" s="57" t="s">
        <v>855</v>
      </c>
      <c r="H60" s="57" t="s">
        <v>856</v>
      </c>
      <c r="I60" s="57" t="s">
        <v>858</v>
      </c>
      <c r="J60" s="39" t="str">
        <f ca="1">IFERROR(__xludf.DUMMYFUNCTION("""COMPUTED_VALUE"""),"Establish an operational incident-handling capability for organizational systems that includes preparation, detection, analysis, containment, recovery, and user response activities.")</f>
        <v>Establish an operational incident-handling capability for organizational systems that includes preparation, detection, analysis, containment, recovery, and user response activities.</v>
      </c>
    </row>
    <row r="61" spans="1:10">
      <c r="A61" s="40" t="s">
        <v>758</v>
      </c>
      <c r="B61" s="38">
        <f ca="1">IFERROR(__xludf.DUMMYFUNCTION("""COMPUTED_VALUE"""),2)</f>
        <v>2</v>
      </c>
      <c r="C61" s="57" t="s">
        <v>137</v>
      </c>
      <c r="D61" s="57" t="s">
        <v>761</v>
      </c>
      <c r="E61" s="57">
        <v>5</v>
      </c>
      <c r="F61" s="57" t="s">
        <v>560</v>
      </c>
      <c r="G61" s="57" t="s">
        <v>855</v>
      </c>
      <c r="H61" s="57" t="s">
        <v>856</v>
      </c>
      <c r="I61" s="57" t="s">
        <v>857</v>
      </c>
      <c r="J61" s="39" t="str">
        <f ca="1">IFERROR(__xludf.DUMMYFUNCTION("""COMPUTED_VALUE"""),"Track, document, and report incidents to designated officials and/or authorities both internal and external to the organization.")</f>
        <v>Track, document, and report incidents to designated officials and/or authorities both internal and external to the organization.</v>
      </c>
    </row>
    <row r="62" spans="1:10">
      <c r="A62" s="40" t="s">
        <v>759</v>
      </c>
      <c r="B62" s="38">
        <f ca="1">IFERROR(__xludf.DUMMYFUNCTION("""COMPUTED_VALUE"""),2)</f>
        <v>2</v>
      </c>
      <c r="C62" s="57" t="s">
        <v>138</v>
      </c>
      <c r="D62" s="57" t="s">
        <v>762</v>
      </c>
      <c r="E62" s="57">
        <v>1</v>
      </c>
      <c r="F62" s="57"/>
      <c r="G62" s="57" t="s">
        <v>855</v>
      </c>
      <c r="H62" s="57" t="s">
        <v>856</v>
      </c>
      <c r="I62" s="57" t="s">
        <v>857</v>
      </c>
      <c r="J62" s="39" t="str">
        <f ca="1">IFERROR(__xludf.DUMMYFUNCTION("""COMPUTED_VALUE"""),"Test the organizational incident response capability.")</f>
        <v>Test the organizational incident response capability.</v>
      </c>
    </row>
    <row r="63" spans="1:10">
      <c r="A63" s="38" t="s">
        <v>331</v>
      </c>
      <c r="B63" s="38">
        <f ca="1">IFERROR(__xludf.DUMMYFUNCTION("""COMPUTED_VALUE"""),2)</f>
        <v>2</v>
      </c>
      <c r="C63" s="57" t="s">
        <v>140</v>
      </c>
      <c r="D63" s="57" t="s">
        <v>765</v>
      </c>
      <c r="E63" s="57">
        <v>3</v>
      </c>
      <c r="F63" s="57" t="s">
        <v>560</v>
      </c>
      <c r="G63" s="57" t="s">
        <v>846</v>
      </c>
      <c r="H63" s="57" t="s">
        <v>847</v>
      </c>
      <c r="I63" s="57" t="s">
        <v>848</v>
      </c>
      <c r="J63" s="39" t="str">
        <f ca="1">IFERROR(__xludf.DUMMYFUNCTION("""COMPUTED_VALUE"""),"Perform maintenance on organizational systems.")</f>
        <v>Perform maintenance on organizational systems.</v>
      </c>
    </row>
    <row r="64" spans="1:10">
      <c r="A64" s="40" t="s">
        <v>141</v>
      </c>
      <c r="B64" s="38">
        <f ca="1">IFERROR(__xludf.DUMMYFUNCTION("""COMPUTED_VALUE"""),2)</f>
        <v>2</v>
      </c>
      <c r="C64" s="57" t="s">
        <v>142</v>
      </c>
      <c r="D64" s="57" t="s">
        <v>766</v>
      </c>
      <c r="E64" s="57">
        <v>5</v>
      </c>
      <c r="F64" s="57" t="s">
        <v>560</v>
      </c>
      <c r="G64" s="57" t="s">
        <v>841</v>
      </c>
      <c r="H64" s="57" t="s">
        <v>843</v>
      </c>
      <c r="I64" s="57" t="s">
        <v>845</v>
      </c>
      <c r="J64" s="39" t="str">
        <f ca="1">IFERROR(__xludf.DUMMYFUNCTION("""COMPUTED_VALUE"""),"Provide controls on the tools, techniques, mechanisms, and personnel used to conduct system maintenance.")</f>
        <v>Provide controls on the tools, techniques, mechanisms, and personnel used to conduct system maintenance.</v>
      </c>
    </row>
    <row r="65" spans="1:10" ht="31.5" customHeight="1">
      <c r="A65" s="40" t="s">
        <v>143</v>
      </c>
      <c r="B65" s="38">
        <f ca="1">IFERROR(__xludf.DUMMYFUNCTION("""COMPUTED_VALUE"""),2)</f>
        <v>2</v>
      </c>
      <c r="C65" s="57" t="s">
        <v>144</v>
      </c>
      <c r="D65" s="57" t="s">
        <v>769</v>
      </c>
      <c r="E65" s="57">
        <v>5</v>
      </c>
      <c r="F65" s="57" t="s">
        <v>561</v>
      </c>
      <c r="G65" s="57" t="s">
        <v>846</v>
      </c>
      <c r="H65" s="57" t="s">
        <v>847</v>
      </c>
      <c r="I65" s="57" t="s">
        <v>849</v>
      </c>
      <c r="J65" s="39" t="str">
        <f ca="1">IFERROR(__xludf.DUMMYFUNCTION("""COMPUTED_VALUE"""),"Require multifactor authentication to establish nonlocal maintenance sessions via external network connections and terminate such connections when nonlocal maintenance is complete.")</f>
        <v>Require multifactor authentication to establish nonlocal maintenance sessions via external network connections and terminate such connections when nonlocal maintenance is complete.</v>
      </c>
    </row>
    <row r="66" spans="1:10">
      <c r="A66" s="40" t="s">
        <v>145</v>
      </c>
      <c r="B66" s="38">
        <f ca="1">IFERROR(__xludf.DUMMYFUNCTION("""COMPUTED_VALUE"""),2)</f>
        <v>2</v>
      </c>
      <c r="C66" s="57" t="s">
        <v>146</v>
      </c>
      <c r="D66" s="57" t="s">
        <v>770</v>
      </c>
      <c r="E66" s="57">
        <v>1</v>
      </c>
      <c r="F66" s="57"/>
      <c r="G66" s="57" t="s">
        <v>841</v>
      </c>
      <c r="H66" s="57" t="s">
        <v>843</v>
      </c>
      <c r="I66" s="57" t="s">
        <v>845</v>
      </c>
      <c r="J66" s="39" t="str">
        <f ca="1">IFERROR(__xludf.DUMMYFUNCTION("""COMPUTED_VALUE"""),"Supervise the maintenance activities of personnel without required access authorization.")</f>
        <v>Supervise the maintenance activities of personnel without required access authorization.</v>
      </c>
    </row>
    <row r="67" spans="1:10">
      <c r="A67" s="40" t="s">
        <v>763</v>
      </c>
      <c r="B67" s="38">
        <f ca="1">IFERROR(__xludf.DUMMYFUNCTION("""COMPUTED_VALUE"""),2)</f>
        <v>2</v>
      </c>
      <c r="C67" s="57" t="s">
        <v>147</v>
      </c>
      <c r="D67" s="57" t="s">
        <v>767</v>
      </c>
      <c r="E67" s="57">
        <v>1</v>
      </c>
      <c r="F67" s="57"/>
      <c r="G67" s="57" t="s">
        <v>841</v>
      </c>
      <c r="H67" s="57" t="s">
        <v>843</v>
      </c>
      <c r="I67" s="57" t="s">
        <v>845</v>
      </c>
      <c r="J67" s="39" t="str">
        <f ca="1">IFERROR(__xludf.DUMMYFUNCTION("""COMPUTED_VALUE"""),"Ensure equipment removed for off-site maintenance is sanitized of any CUI.")</f>
        <v>Ensure equipment removed for off-site maintenance is sanitized of any CUI.</v>
      </c>
    </row>
    <row r="68" spans="1:10">
      <c r="A68" s="40" t="s">
        <v>764</v>
      </c>
      <c r="B68" s="38">
        <f ca="1">IFERROR(__xludf.DUMMYFUNCTION("""COMPUTED_VALUE"""),2)</f>
        <v>2</v>
      </c>
      <c r="C68" s="57" t="s">
        <v>148</v>
      </c>
      <c r="D68" s="57" t="s">
        <v>768</v>
      </c>
      <c r="E68" s="57">
        <v>3</v>
      </c>
      <c r="F68" s="57" t="s">
        <v>561</v>
      </c>
      <c r="G68" s="57" t="s">
        <v>846</v>
      </c>
      <c r="H68" s="57" t="s">
        <v>847</v>
      </c>
      <c r="I68" s="57" t="s">
        <v>848</v>
      </c>
      <c r="J68" s="39" t="str">
        <f ca="1">IFERROR(__xludf.DUMMYFUNCTION("""COMPUTED_VALUE"""),"Check media containing diagnostic and test programs for malicious code before the media are used in organizational systems.")</f>
        <v>Check media containing diagnostic and test programs for malicious code before the media are used in organizational systems.</v>
      </c>
    </row>
    <row r="69" spans="1:10">
      <c r="A69" s="38" t="s">
        <v>149</v>
      </c>
      <c r="B69" s="38">
        <f ca="1">IFERROR(__xludf.DUMMYFUNCTION("""COMPUTED_VALUE"""),1)</f>
        <v>1</v>
      </c>
      <c r="C69" s="57" t="s">
        <v>150</v>
      </c>
      <c r="D69" s="57" t="s">
        <v>771</v>
      </c>
      <c r="E69" s="57">
        <v>5</v>
      </c>
      <c r="F69" s="57" t="s">
        <v>560</v>
      </c>
      <c r="G69" s="62" t="s">
        <v>846</v>
      </c>
      <c r="H69" s="62" t="s">
        <v>847</v>
      </c>
      <c r="I69" s="62" t="s">
        <v>849</v>
      </c>
      <c r="J69" s="39" t="str">
        <f ca="1">IFERROR(__xludf.DUMMYFUNCTION("""COMPUTED_VALUE"""),"Sanitize or destroy information system media containing Federal Contract Information before disposal or release for reuse.")</f>
        <v>Sanitize or destroy information system media containing Federal Contract Information before disposal or release for reuse.</v>
      </c>
    </row>
    <row r="70" spans="1:10">
      <c r="A70" s="40" t="s">
        <v>151</v>
      </c>
      <c r="B70" s="38">
        <f ca="1">IFERROR(__xludf.DUMMYFUNCTION("""COMPUTED_VALUE"""),2)</f>
        <v>2</v>
      </c>
      <c r="C70" s="57" t="s">
        <v>152</v>
      </c>
      <c r="D70" s="57" t="s">
        <v>772</v>
      </c>
      <c r="E70" s="57">
        <v>3</v>
      </c>
      <c r="F70" s="57" t="s">
        <v>560</v>
      </c>
      <c r="G70" s="57" t="s">
        <v>855</v>
      </c>
      <c r="H70" s="57" t="s">
        <v>856</v>
      </c>
      <c r="I70" s="57" t="s">
        <v>858</v>
      </c>
      <c r="J70" s="39" t="str">
        <f ca="1">IFERROR(__xludf.DUMMYFUNCTION("""COMPUTED_VALUE"""),"Protect (i.e., physically control and securely store) system media containing CUI, both paper and digital.")</f>
        <v>Protect (i.e., physically control and securely store) system media containing CUI, both paper and digital.</v>
      </c>
    </row>
    <row r="71" spans="1:10">
      <c r="A71" s="40" t="s">
        <v>153</v>
      </c>
      <c r="B71" s="38">
        <f ca="1">IFERROR(__xludf.DUMMYFUNCTION("""COMPUTED_VALUE"""),2)</f>
        <v>2</v>
      </c>
      <c r="C71" s="57" t="s">
        <v>154</v>
      </c>
      <c r="D71" s="57" t="s">
        <v>773</v>
      </c>
      <c r="E71" s="57">
        <v>3</v>
      </c>
      <c r="F71" s="57" t="s">
        <v>560</v>
      </c>
      <c r="G71" s="57" t="s">
        <v>855</v>
      </c>
      <c r="H71" s="57" t="s">
        <v>856</v>
      </c>
      <c r="I71" s="57" t="s">
        <v>858</v>
      </c>
      <c r="J71" s="39" t="str">
        <f ca="1">IFERROR(__xludf.DUMMYFUNCTION("""COMPUTED_VALUE"""),"Limit access to CUI on system media to authorized users.")</f>
        <v>Limit access to CUI on system media to authorized users.</v>
      </c>
    </row>
    <row r="72" spans="1:10">
      <c r="A72" s="40" t="s">
        <v>155</v>
      </c>
      <c r="B72" s="38">
        <f ca="1">IFERROR(__xludf.DUMMYFUNCTION("""COMPUTED_VALUE"""),2)</f>
        <v>2</v>
      </c>
      <c r="C72" s="57" t="s">
        <v>156</v>
      </c>
      <c r="D72" s="57" t="s">
        <v>780</v>
      </c>
      <c r="E72" s="57">
        <v>5</v>
      </c>
      <c r="F72" s="57" t="s">
        <v>561</v>
      </c>
      <c r="G72" s="57" t="s">
        <v>846</v>
      </c>
      <c r="H72" s="57" t="s">
        <v>847</v>
      </c>
      <c r="I72" s="57" t="s">
        <v>850</v>
      </c>
      <c r="J72" s="39" t="str">
        <f ca="1">IFERROR(__xludf.DUMMYFUNCTION("""COMPUTED_VALUE"""),"Control the use of removable media on system components.")</f>
        <v>Control the use of removable media on system components.</v>
      </c>
    </row>
    <row r="73" spans="1:10">
      <c r="A73" s="40" t="s">
        <v>774</v>
      </c>
      <c r="B73" s="38">
        <f ca="1">IFERROR(__xludf.DUMMYFUNCTION("""COMPUTED_VALUE"""),2)</f>
        <v>2</v>
      </c>
      <c r="C73" s="57" t="s">
        <v>157</v>
      </c>
      <c r="D73" s="57" t="s">
        <v>775</v>
      </c>
      <c r="E73" s="57">
        <v>1</v>
      </c>
      <c r="F73" s="57"/>
      <c r="G73" s="57" t="s">
        <v>855</v>
      </c>
      <c r="H73" s="57" t="s">
        <v>856</v>
      </c>
      <c r="I73" s="57" t="s">
        <v>858</v>
      </c>
      <c r="J73" s="39" t="str">
        <f ca="1">IFERROR(__xludf.DUMMYFUNCTION("""COMPUTED_VALUE"""),"Mark media with necessary CUI markings and distribution limitations.")</f>
        <v>Mark media with necessary CUI markings and distribution limitations.</v>
      </c>
    </row>
    <row r="74" spans="1:10">
      <c r="A74" s="40" t="s">
        <v>781</v>
      </c>
      <c r="B74" s="38">
        <f ca="1">IFERROR(__xludf.DUMMYFUNCTION("""COMPUTED_VALUE"""),2)</f>
        <v>2</v>
      </c>
      <c r="C74" s="57" t="s">
        <v>158</v>
      </c>
      <c r="D74" s="57" t="s">
        <v>782</v>
      </c>
      <c r="E74" s="57">
        <v>3</v>
      </c>
      <c r="F74" s="57" t="s">
        <v>561</v>
      </c>
      <c r="G74" s="57" t="s">
        <v>855</v>
      </c>
      <c r="H74" s="57" t="s">
        <v>856</v>
      </c>
      <c r="I74" s="57" t="s">
        <v>858</v>
      </c>
      <c r="J74" s="39" t="str">
        <f ca="1">IFERROR(__xludf.DUMMYFUNCTION("""COMPUTED_VALUE"""),"Prohibit the use of portable storage devices when such devices have no identifiable owner.")</f>
        <v>Prohibit the use of portable storage devices when such devices have no identifiable owner.</v>
      </c>
    </row>
    <row r="75" spans="1:10">
      <c r="A75" s="40" t="s">
        <v>776</v>
      </c>
      <c r="B75" s="38">
        <f ca="1">IFERROR(__xludf.DUMMYFUNCTION("""COMPUTED_VALUE"""),2)</f>
        <v>2</v>
      </c>
      <c r="C75" s="57" t="s">
        <v>159</v>
      </c>
      <c r="D75" s="57" t="s">
        <v>777</v>
      </c>
      <c r="E75" s="57">
        <v>1</v>
      </c>
      <c r="F75" s="57"/>
      <c r="G75" s="57" t="s">
        <v>855</v>
      </c>
      <c r="H75" s="57" t="s">
        <v>856</v>
      </c>
      <c r="I75" s="57" t="s">
        <v>858</v>
      </c>
      <c r="J75" s="39" t="str">
        <f ca="1">IFERROR(__xludf.DUMMYFUNCTION("""COMPUTED_VALUE"""),"Control access to media containing CUI and maintain accountability for media during transport outside of controlled areas.")</f>
        <v>Control access to media containing CUI and maintain accountability for media during transport outside of controlled areas.</v>
      </c>
    </row>
    <row r="76" spans="1:10">
      <c r="A76" s="40" t="s">
        <v>778</v>
      </c>
      <c r="B76" s="38">
        <f ca="1">IFERROR(__xludf.DUMMYFUNCTION("""COMPUTED_VALUE"""),2)</f>
        <v>2</v>
      </c>
      <c r="C76" s="57" t="s">
        <v>160</v>
      </c>
      <c r="D76" s="57" t="s">
        <v>779</v>
      </c>
      <c r="E76" s="57">
        <v>1</v>
      </c>
      <c r="F76" s="57"/>
      <c r="G76" s="57" t="s">
        <v>846</v>
      </c>
      <c r="H76" s="57" t="s">
        <v>847</v>
      </c>
      <c r="I76" s="57" t="s">
        <v>850</v>
      </c>
      <c r="J76" s="39" t="str">
        <f ca="1">IFERROR(__xludf.DUMMYFUNCTION("""COMPUTED_VALUE"""),"Implement cryptographic mechanisms to protect the confidentiality of CUI stored on digital media during transport unless otherwise protected by alternative physical safeguards.")</f>
        <v>Implement cryptographic mechanisms to protect the confidentiality of CUI stored on digital media during transport unless otherwise protected by alternative physical safeguards.</v>
      </c>
    </row>
    <row r="77" spans="1:10">
      <c r="A77" s="40" t="s">
        <v>332</v>
      </c>
      <c r="B77" s="38">
        <f ca="1">IFERROR(__xludf.DUMMYFUNCTION("""COMPUTED_VALUE"""),2)</f>
        <v>2</v>
      </c>
      <c r="C77" s="57" t="s">
        <v>177</v>
      </c>
      <c r="D77" s="57" t="s">
        <v>783</v>
      </c>
      <c r="E77" s="57">
        <v>1</v>
      </c>
      <c r="F77" s="57"/>
      <c r="G77" s="57" t="s">
        <v>846</v>
      </c>
      <c r="H77" s="57" t="s">
        <v>847</v>
      </c>
      <c r="I77" s="57" t="s">
        <v>849</v>
      </c>
      <c r="J77" s="39" t="str">
        <f ca="1">IFERROR(__xludf.DUMMYFUNCTION("""COMPUTED_VALUE"""),"Protect the confidentiality of backup CUI at storage locations.")</f>
        <v>Protect the confidentiality of backup CUI at storage locations.</v>
      </c>
    </row>
    <row r="78" spans="1:10">
      <c r="A78" s="38" t="s">
        <v>161</v>
      </c>
      <c r="B78" s="38">
        <f ca="1">IFERROR(__xludf.DUMMYFUNCTION("""COMPUTED_VALUE"""),1)</f>
        <v>1</v>
      </c>
      <c r="C78" s="57" t="s">
        <v>162</v>
      </c>
      <c r="D78" s="57" t="s">
        <v>786</v>
      </c>
      <c r="E78" s="57">
        <v>5</v>
      </c>
      <c r="F78" s="57" t="s">
        <v>560</v>
      </c>
      <c r="G78" s="57" t="s">
        <v>855</v>
      </c>
      <c r="H78" s="57" t="s">
        <v>856</v>
      </c>
      <c r="I78" s="57" t="s">
        <v>858</v>
      </c>
      <c r="J78" s="39" t="str">
        <f ca="1">IFERROR(__xludf.DUMMYFUNCTION("""COMPUTED_VALUE"""),"Limit physical access to organizational information systems, equipment, and the respective operating environments to authorized individuals.")</f>
        <v>Limit physical access to organizational information systems, equipment, and the respective operating environments to authorized individuals.</v>
      </c>
    </row>
    <row r="79" spans="1:10">
      <c r="A79" s="40" t="s">
        <v>163</v>
      </c>
      <c r="B79" s="38">
        <f ca="1">IFERROR(__xludf.DUMMYFUNCTION("""COMPUTED_VALUE"""),1)</f>
        <v>1</v>
      </c>
      <c r="C79" s="57" t="s">
        <v>164</v>
      </c>
      <c r="D79" s="57" t="s">
        <v>787</v>
      </c>
      <c r="E79" s="57">
        <v>1</v>
      </c>
      <c r="F79" s="57"/>
      <c r="G79" s="57" t="s">
        <v>855</v>
      </c>
      <c r="H79" s="57" t="s">
        <v>856</v>
      </c>
      <c r="I79" s="57" t="s">
        <v>858</v>
      </c>
      <c r="J79" s="39" t="str">
        <f ca="1">IFERROR(__xludf.DUMMYFUNCTION("""COMPUTED_VALUE"""),"Escort visitors and monitor visitor activity.")</f>
        <v>Escort visitors and monitor visitor activity.</v>
      </c>
    </row>
    <row r="80" spans="1:10">
      <c r="A80" s="40" t="s">
        <v>165</v>
      </c>
      <c r="B80" s="38">
        <f ca="1">IFERROR(__xludf.DUMMYFUNCTION("""COMPUTED_VALUE"""),1)</f>
        <v>1</v>
      </c>
      <c r="C80" s="57" t="s">
        <v>166</v>
      </c>
      <c r="D80" s="57" t="s">
        <v>788</v>
      </c>
      <c r="E80" s="57">
        <v>1</v>
      </c>
      <c r="F80" s="57"/>
      <c r="G80" s="57" t="s">
        <v>855</v>
      </c>
      <c r="H80" s="57" t="s">
        <v>856</v>
      </c>
      <c r="I80" s="57" t="s">
        <v>858</v>
      </c>
      <c r="J80" s="39" t="str">
        <f ca="1">IFERROR(__xludf.DUMMYFUNCTION("""COMPUTED_VALUE"""),"Maintain audit logs of physical access.")</f>
        <v>Maintain audit logs of physical access.</v>
      </c>
    </row>
    <row r="81" spans="1:10">
      <c r="A81" s="40" t="s">
        <v>167</v>
      </c>
      <c r="B81" s="38">
        <f ca="1">IFERROR(__xludf.DUMMYFUNCTION("""COMPUTED_VALUE"""),1)</f>
        <v>1</v>
      </c>
      <c r="C81" s="57" t="s">
        <v>168</v>
      </c>
      <c r="D81" s="57" t="s">
        <v>789</v>
      </c>
      <c r="E81" s="57">
        <v>1</v>
      </c>
      <c r="F81" s="57"/>
      <c r="G81" s="57" t="s">
        <v>855</v>
      </c>
      <c r="H81" s="57" t="s">
        <v>856</v>
      </c>
      <c r="I81" s="57" t="s">
        <v>858</v>
      </c>
      <c r="J81" s="39" t="str">
        <f ca="1">IFERROR(__xludf.DUMMYFUNCTION("""COMPUTED_VALUE"""),"Control and manage physical access devices.")</f>
        <v>Control and manage physical access devices.</v>
      </c>
    </row>
    <row r="82" spans="1:10">
      <c r="A82" s="40" t="s">
        <v>169</v>
      </c>
      <c r="B82" s="38">
        <f ca="1">IFERROR(__xludf.DUMMYFUNCTION("""COMPUTED_VALUE"""),2)</f>
        <v>2</v>
      </c>
      <c r="C82" s="57" t="s">
        <v>170</v>
      </c>
      <c r="D82" s="57" t="s">
        <v>790</v>
      </c>
      <c r="E82" s="57">
        <v>5</v>
      </c>
      <c r="F82" s="57" t="s">
        <v>560</v>
      </c>
      <c r="G82" s="57" t="s">
        <v>855</v>
      </c>
      <c r="H82" s="57" t="s">
        <v>856</v>
      </c>
      <c r="I82" s="57" t="s">
        <v>858</v>
      </c>
      <c r="J82" s="39" t="str">
        <f ca="1">IFERROR(__xludf.DUMMYFUNCTION("""COMPUTED_VALUE"""),"Protect and monitor the physical facility and support infrastructure for organizational systems.")</f>
        <v>Protect and monitor the physical facility and support infrastructure for organizational systems.</v>
      </c>
    </row>
    <row r="83" spans="1:10">
      <c r="A83" s="40" t="s">
        <v>793</v>
      </c>
      <c r="B83" s="38">
        <f ca="1">IFERROR(__xludf.DUMMYFUNCTION("""COMPUTED_VALUE"""),2)</f>
        <v>2</v>
      </c>
      <c r="C83" s="57" t="s">
        <v>171</v>
      </c>
      <c r="D83" s="57" t="s">
        <v>794</v>
      </c>
      <c r="E83" s="57">
        <v>1</v>
      </c>
      <c r="F83" s="57"/>
      <c r="G83" s="57" t="s">
        <v>855</v>
      </c>
      <c r="H83" s="57" t="s">
        <v>856</v>
      </c>
      <c r="I83" s="57" t="s">
        <v>858</v>
      </c>
      <c r="J83" s="39" t="str">
        <f ca="1">IFERROR(__xludf.DUMMYFUNCTION("""COMPUTED_VALUE"""),"Enforce safeguarding measures for CUI at alternate work sites.")</f>
        <v>Enforce safeguarding measures for CUI at alternate work sites.</v>
      </c>
    </row>
    <row r="84" spans="1:10">
      <c r="A84" s="38" t="s">
        <v>172</v>
      </c>
      <c r="B84" s="38">
        <f ca="1">IFERROR(__xludf.DUMMYFUNCTION("""COMPUTED_VALUE"""),2)</f>
        <v>2</v>
      </c>
      <c r="C84" s="57" t="s">
        <v>173</v>
      </c>
      <c r="D84" s="57" t="s">
        <v>784</v>
      </c>
      <c r="E84" s="57">
        <v>3</v>
      </c>
      <c r="F84" s="57" t="s">
        <v>560</v>
      </c>
      <c r="G84" s="57" t="s">
        <v>855</v>
      </c>
      <c r="H84" s="57" t="s">
        <v>856</v>
      </c>
      <c r="I84" s="57" t="s">
        <v>858</v>
      </c>
      <c r="J84" s="39" t="str">
        <f ca="1">IFERROR(__xludf.DUMMYFUNCTION("""COMPUTED_VALUE"""),"Screen individuals prior to authorizing access to organizational systems containing CUI.")</f>
        <v>Screen individuals prior to authorizing access to organizational systems containing CUI.</v>
      </c>
    </row>
    <row r="85" spans="1:10">
      <c r="A85" s="40" t="s">
        <v>174</v>
      </c>
      <c r="B85" s="38">
        <f ca="1">IFERROR(__xludf.DUMMYFUNCTION("""COMPUTED_VALUE"""),2)</f>
        <v>2</v>
      </c>
      <c r="C85" s="57" t="s">
        <v>175</v>
      </c>
      <c r="D85" s="57" t="s">
        <v>785</v>
      </c>
      <c r="E85" s="57">
        <v>5</v>
      </c>
      <c r="F85" s="57" t="s">
        <v>560</v>
      </c>
      <c r="G85" s="57" t="s">
        <v>855</v>
      </c>
      <c r="H85" s="57" t="s">
        <v>856</v>
      </c>
      <c r="I85" s="57" t="s">
        <v>858</v>
      </c>
      <c r="J85" s="39" t="str">
        <f ca="1">IFERROR(__xludf.DUMMYFUNCTION("""COMPUTED_VALUE"""),"Ensure that organizational systems containing CUI are protected during and after personnel actions such as terminations and transfers.")</f>
        <v>Ensure that organizational systems containing CUI are protected during and after personnel actions such as terminations and transfers.</v>
      </c>
    </row>
    <row r="86" spans="1:10" ht="26.25">
      <c r="A86" s="38" t="s">
        <v>178</v>
      </c>
      <c r="B86" s="38">
        <f ca="1">IFERROR(__xludf.DUMMYFUNCTION("""COMPUTED_VALUE"""),2)</f>
        <v>2</v>
      </c>
      <c r="C86" s="57" t="s">
        <v>179</v>
      </c>
      <c r="D86" s="57" t="s">
        <v>795</v>
      </c>
      <c r="E86" s="57">
        <v>3</v>
      </c>
      <c r="F86" s="57" t="s">
        <v>560</v>
      </c>
      <c r="G86" s="57" t="s">
        <v>855</v>
      </c>
      <c r="H86" s="57" t="s">
        <v>856</v>
      </c>
      <c r="I86" s="57" t="s">
        <v>857</v>
      </c>
      <c r="J86" s="39" t="str">
        <f ca="1">IFERROR(__xludf.DUMMYFUNCTION("""COMPUTED_VALUE"""),"Periodically assess the risk to organizational operations (including mission, functions, image, or reputation), organizational assets, and individuals, resulting from the operation of organizational systems and the associated processing, storage, or trans"&amp;"mission of CUI.")</f>
        <v>Periodically assess the risk to organizational operations (including mission, functions, image, or reputation), organizational assets, and individuals, resulting from the operation of organizational systems and the associated processing, storage, or transmission of CUI.</v>
      </c>
    </row>
    <row r="87" spans="1:10">
      <c r="A87" s="40" t="s">
        <v>180</v>
      </c>
      <c r="B87" s="38">
        <f ca="1">IFERROR(__xludf.DUMMYFUNCTION("""COMPUTED_VALUE"""),2)</f>
        <v>2</v>
      </c>
      <c r="C87" s="57" t="s">
        <v>181</v>
      </c>
      <c r="D87" s="57" t="s">
        <v>796</v>
      </c>
      <c r="E87" s="57">
        <v>5</v>
      </c>
      <c r="F87" s="57" t="s">
        <v>561</v>
      </c>
      <c r="G87" s="57" t="s">
        <v>846</v>
      </c>
      <c r="H87" s="57" t="s">
        <v>847</v>
      </c>
      <c r="I87" s="57" t="s">
        <v>854</v>
      </c>
      <c r="J87" s="39" t="str">
        <f ca="1">IFERROR(__xludf.DUMMYFUNCTION("""COMPUTED_VALUE"""),"Scan for vulnerabilities in organizational systems and applications periodically and when new vulnerabilities affecting those systems and applications are identified.")</f>
        <v>Scan for vulnerabilities in organizational systems and applications periodically and when new vulnerabilities affecting those systems and applications are identified.</v>
      </c>
    </row>
    <row r="88" spans="1:10">
      <c r="A88" s="40" t="s">
        <v>182</v>
      </c>
      <c r="B88" s="38">
        <f ca="1">IFERROR(__xludf.DUMMYFUNCTION("""COMPUTED_VALUE"""),2)</f>
        <v>2</v>
      </c>
      <c r="C88" s="57" t="s">
        <v>183</v>
      </c>
      <c r="D88" s="57" t="s">
        <v>797</v>
      </c>
      <c r="E88" s="57">
        <v>1</v>
      </c>
      <c r="F88" s="57"/>
      <c r="G88" s="57" t="s">
        <v>841</v>
      </c>
      <c r="H88" s="57" t="s">
        <v>843</v>
      </c>
      <c r="I88" s="57" t="s">
        <v>845</v>
      </c>
      <c r="J88" s="39" t="str">
        <f ca="1">IFERROR(__xludf.DUMMYFUNCTION("""COMPUTED_VALUE"""),"Remediate vulnerabilities in accordance with risk assessments.")</f>
        <v>Remediate vulnerabilities in accordance with risk assessments.</v>
      </c>
    </row>
    <row r="89" spans="1:10" ht="26.25">
      <c r="A89" s="38" t="s">
        <v>184</v>
      </c>
      <c r="B89" s="38">
        <f ca="1">IFERROR(__xludf.DUMMYFUNCTION("""COMPUTED_VALUE"""),1)</f>
        <v>1</v>
      </c>
      <c r="C89" s="57" t="s">
        <v>185</v>
      </c>
      <c r="D89" s="57" t="s">
        <v>791</v>
      </c>
      <c r="E89" s="57">
        <v>5</v>
      </c>
      <c r="F89" s="57" t="s">
        <v>560</v>
      </c>
      <c r="G89" s="57" t="s">
        <v>846</v>
      </c>
      <c r="H89" s="57" t="s">
        <v>847</v>
      </c>
      <c r="I89" s="57" t="s">
        <v>852</v>
      </c>
      <c r="J89" s="39" t="str">
        <f ca="1">IFERROR(__xludf.DUMMYFUNCTION("""COMPUTED_VALUE"""),"Monitor, control, and protect organizational communications (i.e., information transmitted or received by organizational information systems) at the external boundaries and key internal boundaries of the information systems.")</f>
        <v>Monitor, control, and protect organizational communications (i.e., information transmitted or received by organizational information systems) at the external boundaries and key internal boundaries of the information systems.</v>
      </c>
    </row>
    <row r="90" spans="1:10">
      <c r="A90" s="40" t="s">
        <v>186</v>
      </c>
      <c r="B90" s="38">
        <f ca="1">IFERROR(__xludf.DUMMYFUNCTION("""COMPUTED_VALUE"""),1)</f>
        <v>1</v>
      </c>
      <c r="C90" s="57" t="s">
        <v>187</v>
      </c>
      <c r="D90" s="57" t="s">
        <v>803</v>
      </c>
      <c r="E90" s="57">
        <v>5</v>
      </c>
      <c r="F90" s="57" t="s">
        <v>561</v>
      </c>
      <c r="G90" s="57" t="s">
        <v>846</v>
      </c>
      <c r="H90" s="57" t="s">
        <v>847</v>
      </c>
      <c r="I90" s="57" t="s">
        <v>851</v>
      </c>
      <c r="J90" s="39" t="str">
        <f ca="1">IFERROR(__xludf.DUMMYFUNCTION("""COMPUTED_VALUE"""),"Implement subnetworks for publicly accessible system components that are physically or logically separated from internal networks.")</f>
        <v>Implement subnetworks for publicly accessible system components that are physically or logically separated from internal networks.</v>
      </c>
    </row>
    <row r="91" spans="1:10">
      <c r="A91" s="40" t="s">
        <v>819</v>
      </c>
      <c r="B91" s="38">
        <f ca="1">IFERROR(__xludf.DUMMYFUNCTION("""COMPUTED_VALUE"""),2)</f>
        <v>2</v>
      </c>
      <c r="C91" s="57" t="s">
        <v>190</v>
      </c>
      <c r="D91" s="57" t="s">
        <v>820</v>
      </c>
      <c r="E91" s="57" t="s">
        <v>839</v>
      </c>
      <c r="F91" s="57"/>
      <c r="G91" s="57" t="s">
        <v>846</v>
      </c>
      <c r="H91" s="57" t="s">
        <v>847</v>
      </c>
      <c r="I91" s="57" t="s">
        <v>849</v>
      </c>
      <c r="J91" s="39" t="str">
        <f ca="1">IFERROR(__xludf.DUMMYFUNCTION("""COMPUTED_VALUE"""),"Employ FIPS-validated cryptography when used to protect the confidentiality of CUI.")</f>
        <v>Employ FIPS-validated cryptography when used to protect the confidentiality of CUI.</v>
      </c>
    </row>
    <row r="92" spans="1:10">
      <c r="A92" s="40" t="s">
        <v>188</v>
      </c>
      <c r="B92" s="38">
        <f ca="1">IFERROR(__xludf.DUMMYFUNCTION("""COMPUTED_VALUE"""),2)</f>
        <v>2</v>
      </c>
      <c r="C92" s="57" t="s">
        <v>821</v>
      </c>
      <c r="D92" s="57" t="s">
        <v>822</v>
      </c>
      <c r="E92" s="57">
        <v>1</v>
      </c>
      <c r="F92" s="57"/>
      <c r="G92" s="57" t="s">
        <v>846</v>
      </c>
      <c r="H92" s="57" t="s">
        <v>847</v>
      </c>
      <c r="I92" s="57" t="s">
        <v>851</v>
      </c>
      <c r="J92" s="39" t="str">
        <f ca="1">IFERROR(__xludf.DUMMYFUNCTION("""COMPUTED_VALUE"""),"Prohibit remote activation of collaborative computing devices and provide indication of devices in use to users present at the device.")</f>
        <v>Prohibit remote activation of collaborative computing devices and provide indication of devices in use to users present at the device.</v>
      </c>
    </row>
    <row r="93" spans="1:10">
      <c r="A93" s="40" t="s">
        <v>804</v>
      </c>
      <c r="B93" s="38">
        <f ca="1">IFERROR(__xludf.DUMMYFUNCTION("""COMPUTED_VALUE"""),2)</f>
        <v>2</v>
      </c>
      <c r="C93" s="57" t="s">
        <v>192</v>
      </c>
      <c r="D93" s="57" t="s">
        <v>792</v>
      </c>
      <c r="E93" s="57">
        <v>5</v>
      </c>
      <c r="F93" s="57" t="s">
        <v>560</v>
      </c>
      <c r="G93" s="57" t="s">
        <v>855</v>
      </c>
      <c r="H93" s="57" t="s">
        <v>856</v>
      </c>
      <c r="I93" s="57" t="s">
        <v>857</v>
      </c>
      <c r="J93" s="39" t="str">
        <f ca="1">IFERROR(__xludf.DUMMYFUNCTION("""COMPUTED_VALUE"""),"Employ architectural designs, software development techniques, and systems engineering principles that promote effective information security within organizational systems.")</f>
        <v>Employ architectural designs, software development techniques, and systems engineering principles that promote effective information security within organizational systems.</v>
      </c>
    </row>
    <row r="94" spans="1:10">
      <c r="A94" s="40" t="s">
        <v>805</v>
      </c>
      <c r="B94" s="38">
        <f ca="1">IFERROR(__xludf.DUMMYFUNCTION("""COMPUTED_VALUE"""),2)</f>
        <v>2</v>
      </c>
      <c r="C94" s="57" t="s">
        <v>193</v>
      </c>
      <c r="D94" s="57" t="s">
        <v>806</v>
      </c>
      <c r="E94" s="57">
        <v>1</v>
      </c>
      <c r="F94" s="57"/>
      <c r="G94" s="57" t="s">
        <v>846</v>
      </c>
      <c r="H94" s="57" t="s">
        <v>847</v>
      </c>
      <c r="I94" s="57" t="s">
        <v>851</v>
      </c>
      <c r="J94" s="39" t="str">
        <f ca="1">IFERROR(__xludf.DUMMYFUNCTION("""COMPUTED_VALUE"""),"Separate user functionality from system management functionality.")</f>
        <v>Separate user functionality from system management functionality.</v>
      </c>
    </row>
    <row r="95" spans="1:10">
      <c r="A95" s="40" t="s">
        <v>807</v>
      </c>
      <c r="B95" s="38">
        <f ca="1">IFERROR(__xludf.DUMMYFUNCTION("""COMPUTED_VALUE"""),2)</f>
        <v>2</v>
      </c>
      <c r="C95" s="57" t="s">
        <v>194</v>
      </c>
      <c r="D95" s="57" t="s">
        <v>808</v>
      </c>
      <c r="E95" s="57">
        <v>1</v>
      </c>
      <c r="F95" s="57"/>
      <c r="G95" s="57" t="s">
        <v>846</v>
      </c>
      <c r="H95" s="57" t="s">
        <v>847</v>
      </c>
      <c r="I95" s="57" t="s">
        <v>849</v>
      </c>
      <c r="J95" s="39" t="str">
        <f ca="1">IFERROR(__xludf.DUMMYFUNCTION("""COMPUTED_VALUE"""),"Prevent unauthorized and unintended information transfer via shared system resources.")</f>
        <v>Prevent unauthorized and unintended information transfer via shared system resources.</v>
      </c>
    </row>
    <row r="96" spans="1:10">
      <c r="A96" s="40" t="s">
        <v>809</v>
      </c>
      <c r="B96" s="38">
        <f ca="1">IFERROR(__xludf.DUMMYFUNCTION("""COMPUTED_VALUE"""),2)</f>
        <v>2</v>
      </c>
      <c r="C96" s="57" t="s">
        <v>195</v>
      </c>
      <c r="D96" s="57" t="s">
        <v>810</v>
      </c>
      <c r="E96" s="57">
        <v>5</v>
      </c>
      <c r="F96" s="57" t="s">
        <v>561</v>
      </c>
      <c r="G96" s="57" t="s">
        <v>846</v>
      </c>
      <c r="H96" s="57" t="s">
        <v>847</v>
      </c>
      <c r="I96" s="57" t="s">
        <v>851</v>
      </c>
      <c r="J96" s="39" t="str">
        <f ca="1">IFERROR(__xludf.DUMMYFUNCTION("""COMPUTED_VALUE"""),"Deny network communications traffic by default and allow network communications traffic by exception (i.e., deny all, permit by exception).")</f>
        <v>Deny network communications traffic by default and allow network communications traffic by exception (i.e., deny all, permit by exception).</v>
      </c>
    </row>
    <row r="97" spans="1:10" ht="26.25">
      <c r="A97" s="40" t="s">
        <v>811</v>
      </c>
      <c r="B97" s="38">
        <f ca="1">IFERROR(__xludf.DUMMYFUNCTION("""COMPUTED_VALUE"""),2)</f>
        <v>2</v>
      </c>
      <c r="C97" s="57" t="s">
        <v>196</v>
      </c>
      <c r="D97" s="57" t="s">
        <v>812</v>
      </c>
      <c r="E97" s="57">
        <v>1</v>
      </c>
      <c r="F97" s="57"/>
      <c r="G97" s="57" t="s">
        <v>846</v>
      </c>
      <c r="H97" s="57" t="s">
        <v>847</v>
      </c>
      <c r="I97" s="57" t="s">
        <v>851</v>
      </c>
      <c r="J97" s="39" t="str">
        <f ca="1">IFERROR(__xludf.DUMMYFUNCTION("""COMPUTED_VALUE"""),"Prevent remote devices from simultaneously establishing non-remote connections with organizational systems and communicating via some other connection to resources in external networks (i.e., split tunneling).")</f>
        <v>Prevent remote devices from simultaneously establishing non-remote connections with organizational systems and communicating via some other connection to resources in external networks (i.e., split tunneling).</v>
      </c>
    </row>
    <row r="98" spans="1:10">
      <c r="A98" s="40" t="s">
        <v>813</v>
      </c>
      <c r="B98" s="38">
        <f ca="1">IFERROR(__xludf.DUMMYFUNCTION("""COMPUTED_VALUE"""),2)</f>
        <v>2</v>
      </c>
      <c r="C98" s="57" t="s">
        <v>197</v>
      </c>
      <c r="D98" s="57" t="s">
        <v>814</v>
      </c>
      <c r="E98" s="57">
        <v>3</v>
      </c>
      <c r="F98" s="57" t="s">
        <v>561</v>
      </c>
      <c r="G98" s="57" t="s">
        <v>846</v>
      </c>
      <c r="H98" s="57" t="s">
        <v>847</v>
      </c>
      <c r="I98" s="57" t="s">
        <v>849</v>
      </c>
      <c r="J98" s="39" t="str">
        <f ca="1">IFERROR(__xludf.DUMMYFUNCTION("""COMPUTED_VALUE"""),"Implement cryptographic mechanisms to prevent unauthorized disclosure of CUI during transmission unless otherwise protected by alternative physical safeguards.")</f>
        <v>Implement cryptographic mechanisms to prevent unauthorized disclosure of CUI during transmission unless otherwise protected by alternative physical safeguards.</v>
      </c>
    </row>
    <row r="99" spans="1:10">
      <c r="A99" s="40" t="s">
        <v>815</v>
      </c>
      <c r="B99" s="38">
        <f ca="1">IFERROR(__xludf.DUMMYFUNCTION("""COMPUTED_VALUE"""),2)</f>
        <v>2</v>
      </c>
      <c r="C99" s="57" t="s">
        <v>198</v>
      </c>
      <c r="D99" s="57" t="s">
        <v>816</v>
      </c>
      <c r="E99" s="57">
        <v>1</v>
      </c>
      <c r="F99" s="57"/>
      <c r="G99" s="57" t="s">
        <v>846</v>
      </c>
      <c r="H99" s="57" t="s">
        <v>847</v>
      </c>
      <c r="I99" s="57" t="s">
        <v>851</v>
      </c>
      <c r="J99" s="39" t="str">
        <f ca="1">IFERROR(__xludf.DUMMYFUNCTION("""COMPUTED_VALUE"""),"Terminate network connections associated with communications sessions at the end of the sessions or after a defined period of inactivity.")</f>
        <v>Terminate network connections associated with communications sessions at the end of the sessions or after a defined period of inactivity.</v>
      </c>
    </row>
    <row r="100" spans="1:10">
      <c r="A100" s="40" t="s">
        <v>817</v>
      </c>
      <c r="B100" s="38">
        <f ca="1">IFERROR(__xludf.DUMMYFUNCTION("""COMPUTED_VALUE"""),2)</f>
        <v>2</v>
      </c>
      <c r="C100" s="57" t="s">
        <v>199</v>
      </c>
      <c r="D100" s="57" t="s">
        <v>818</v>
      </c>
      <c r="E100" s="57">
        <v>1</v>
      </c>
      <c r="F100" s="57"/>
      <c r="G100" s="57" t="s">
        <v>846</v>
      </c>
      <c r="H100" s="57" t="s">
        <v>847</v>
      </c>
      <c r="I100" s="57" t="s">
        <v>849</v>
      </c>
      <c r="J100" s="39" t="str">
        <f ca="1">IFERROR(__xludf.DUMMYFUNCTION("""COMPUTED_VALUE"""),"Establish and manage cryptographic keys for cryptography employed in organizational systems.")</f>
        <v>Establish and manage cryptographic keys for cryptography employed in organizational systems.</v>
      </c>
    </row>
    <row r="101" spans="1:10">
      <c r="A101" s="40" t="s">
        <v>823</v>
      </c>
      <c r="B101" s="38">
        <f ca="1">IFERROR(__xludf.DUMMYFUNCTION("""COMPUTED_VALUE"""),2)</f>
        <v>2</v>
      </c>
      <c r="C101" s="57" t="s">
        <v>200</v>
      </c>
      <c r="D101" s="57" t="s">
        <v>824</v>
      </c>
      <c r="E101" s="57">
        <v>1</v>
      </c>
      <c r="F101" s="57"/>
      <c r="G101" s="57" t="s">
        <v>846</v>
      </c>
      <c r="H101" s="57" t="s">
        <v>847</v>
      </c>
      <c r="I101" s="57" t="s">
        <v>849</v>
      </c>
      <c r="J101" s="39" t="str">
        <f ca="1">IFERROR(__xludf.DUMMYFUNCTION("""COMPUTED_VALUE"""),"Control and monitor the use of mobile code.")</f>
        <v>Control and monitor the use of mobile code.</v>
      </c>
    </row>
    <row r="102" spans="1:10">
      <c r="A102" s="40" t="s">
        <v>825</v>
      </c>
      <c r="B102" s="38">
        <f ca="1">IFERROR(__xludf.DUMMYFUNCTION("""COMPUTED_VALUE"""),2)</f>
        <v>2</v>
      </c>
      <c r="C102" s="57" t="s">
        <v>201</v>
      </c>
      <c r="D102" s="57" t="s">
        <v>826</v>
      </c>
      <c r="E102" s="57">
        <v>1</v>
      </c>
      <c r="F102" s="57"/>
      <c r="G102" s="57" t="s">
        <v>846</v>
      </c>
      <c r="H102" s="57" t="s">
        <v>847</v>
      </c>
      <c r="I102" s="57" t="s">
        <v>849</v>
      </c>
      <c r="J102" s="39" t="str">
        <f ca="1">IFERROR(__xludf.DUMMYFUNCTION("""COMPUTED_VALUE"""),"Control and monitor the use of Voice over Internet Protocol (VoIP) technologies.")</f>
        <v>Control and monitor the use of Voice over Internet Protocol (VoIP) technologies.</v>
      </c>
    </row>
    <row r="103" spans="1:10">
      <c r="A103" s="40" t="s">
        <v>827</v>
      </c>
      <c r="B103" s="38">
        <f ca="1">IFERROR(__xludf.DUMMYFUNCTION("""COMPUTED_VALUE"""),2)</f>
        <v>2</v>
      </c>
      <c r="C103" s="57" t="s">
        <v>202</v>
      </c>
      <c r="D103" s="57" t="s">
        <v>828</v>
      </c>
      <c r="E103" s="57">
        <v>5</v>
      </c>
      <c r="F103" s="57" t="s">
        <v>561</v>
      </c>
      <c r="G103" s="57" t="s">
        <v>846</v>
      </c>
      <c r="H103" s="57" t="s">
        <v>847</v>
      </c>
      <c r="I103" s="57" t="s">
        <v>851</v>
      </c>
      <c r="J103" s="39" t="str">
        <f ca="1">IFERROR(__xludf.DUMMYFUNCTION("""COMPUTED_VALUE"""),"Protect the authenticity of communications sessions.")</f>
        <v>Protect the authenticity of communications sessions.</v>
      </c>
    </row>
    <row r="104" spans="1:10">
      <c r="A104" s="40" t="s">
        <v>829</v>
      </c>
      <c r="B104" s="38">
        <f ca="1">IFERROR(__xludf.DUMMYFUNCTION("""COMPUTED_VALUE"""),2)</f>
        <v>2</v>
      </c>
      <c r="C104" s="57" t="s">
        <v>203</v>
      </c>
      <c r="D104" s="57" t="s">
        <v>830</v>
      </c>
      <c r="E104" s="57">
        <v>1</v>
      </c>
      <c r="F104" s="57"/>
      <c r="G104" s="57" t="s">
        <v>846</v>
      </c>
      <c r="H104" s="57" t="s">
        <v>847</v>
      </c>
      <c r="I104" s="57" t="s">
        <v>850</v>
      </c>
      <c r="J104" s="39" t="str">
        <f ca="1">IFERROR(__xludf.DUMMYFUNCTION("""COMPUTED_VALUE"""),"Protect the confidentiality of CUI at rest.")</f>
        <v>Protect the confidentiality of CUI at rest.</v>
      </c>
    </row>
    <row r="105" spans="1:10">
      <c r="A105" s="38" t="s">
        <v>204</v>
      </c>
      <c r="B105" s="38">
        <f ca="1">IFERROR(__xludf.DUMMYFUNCTION("""COMPUTED_VALUE"""),1)</f>
        <v>1</v>
      </c>
      <c r="C105" s="57" t="s">
        <v>205</v>
      </c>
      <c r="D105" s="57" t="s">
        <v>831</v>
      </c>
      <c r="E105" s="57">
        <v>5</v>
      </c>
      <c r="F105" s="57" t="s">
        <v>560</v>
      </c>
      <c r="G105" s="57" t="s">
        <v>855</v>
      </c>
      <c r="H105" s="57" t="s">
        <v>856</v>
      </c>
      <c r="I105" s="57" t="s">
        <v>858</v>
      </c>
      <c r="J105" s="39" t="str">
        <f ca="1">IFERROR(__xludf.DUMMYFUNCTION("""COMPUTED_VALUE"""),"Identify, report, and correct information and information system flaws in a timely manner.")</f>
        <v>Identify, report, and correct information and information system flaws in a timely manner.</v>
      </c>
    </row>
    <row r="106" spans="1:10">
      <c r="A106" s="40" t="s">
        <v>206</v>
      </c>
      <c r="B106" s="38">
        <f ca="1">IFERROR(__xludf.DUMMYFUNCTION("""COMPUTED_VALUE"""),1)</f>
        <v>1</v>
      </c>
      <c r="C106" s="57" t="s">
        <v>207</v>
      </c>
      <c r="D106" s="57" t="s">
        <v>832</v>
      </c>
      <c r="E106" s="57">
        <v>5</v>
      </c>
      <c r="F106" s="57" t="s">
        <v>560</v>
      </c>
      <c r="G106" s="57" t="s">
        <v>846</v>
      </c>
      <c r="H106" s="57" t="s">
        <v>847</v>
      </c>
      <c r="I106" s="57" t="s">
        <v>854</v>
      </c>
      <c r="J106" s="39" t="str">
        <f ca="1">IFERROR(__xludf.DUMMYFUNCTION("""COMPUTED_VALUE"""),"Provide protection from malicious code at appropriate locations within organizational information systems.")</f>
        <v>Provide protection from malicious code at appropriate locations within organizational information systems.</v>
      </c>
    </row>
    <row r="107" spans="1:10">
      <c r="A107" s="40" t="s">
        <v>208</v>
      </c>
      <c r="B107" s="38">
        <f ca="1">IFERROR(__xludf.DUMMYFUNCTION("""COMPUTED_VALUE"""),1)</f>
        <v>1</v>
      </c>
      <c r="C107" s="57" t="s">
        <v>209</v>
      </c>
      <c r="D107" s="57" t="s">
        <v>833</v>
      </c>
      <c r="E107" s="57">
        <v>5</v>
      </c>
      <c r="F107" s="57" t="s">
        <v>561</v>
      </c>
      <c r="G107" s="57" t="s">
        <v>846</v>
      </c>
      <c r="H107" s="57" t="s">
        <v>847</v>
      </c>
      <c r="I107" s="57" t="s">
        <v>851</v>
      </c>
      <c r="J107" s="39" t="str">
        <f ca="1">IFERROR(__xludf.DUMMYFUNCTION("""COMPUTED_VALUE"""),"Update malicious code protection mechanisms when new releases are available.")</f>
        <v>Update malicious code protection mechanisms when new releases are available.</v>
      </c>
    </row>
    <row r="108" spans="1:10">
      <c r="A108" s="40" t="s">
        <v>210</v>
      </c>
      <c r="B108" s="38">
        <f ca="1">IFERROR(__xludf.DUMMYFUNCTION("""COMPUTED_VALUE"""),1)</f>
        <v>1</v>
      </c>
      <c r="C108" s="57" t="s">
        <v>211</v>
      </c>
      <c r="D108" s="57" t="s">
        <v>834</v>
      </c>
      <c r="E108" s="57">
        <v>3</v>
      </c>
      <c r="F108" s="57" t="s">
        <v>561</v>
      </c>
      <c r="G108" s="57" t="s">
        <v>846</v>
      </c>
      <c r="H108" s="57" t="s">
        <v>847</v>
      </c>
      <c r="I108" s="57" t="s">
        <v>854</v>
      </c>
      <c r="J108" s="39" t="str">
        <f ca="1">IFERROR(__xludf.DUMMYFUNCTION("""COMPUTED_VALUE"""),"Perform periodic scans of the information system and real-time scans of files from external sources as files are downloaded, opened, or executed.")</f>
        <v>Perform periodic scans of the information system and real-time scans of files from external sources as files are downloaded, opened, or executed.</v>
      </c>
    </row>
    <row r="109" spans="1:10">
      <c r="A109" s="40" t="s">
        <v>212</v>
      </c>
      <c r="B109" s="38">
        <f ca="1">IFERROR(__xludf.DUMMYFUNCTION("""COMPUTED_VALUE"""),2)</f>
        <v>2</v>
      </c>
      <c r="C109" s="57" t="s">
        <v>213</v>
      </c>
      <c r="D109" s="57" t="s">
        <v>835</v>
      </c>
      <c r="E109" s="57">
        <v>5</v>
      </c>
      <c r="F109" s="57" t="s">
        <v>560</v>
      </c>
      <c r="G109" s="57" t="s">
        <v>855</v>
      </c>
      <c r="H109" s="57" t="s">
        <v>856</v>
      </c>
      <c r="I109" s="57" t="s">
        <v>857</v>
      </c>
      <c r="J109" s="39" t="str">
        <f ca="1">IFERROR(__xludf.DUMMYFUNCTION("""COMPUTED_VALUE"""),"Monitor system security alerts and advisories and take action in response.")</f>
        <v>Monitor system security alerts and advisories and take action in response.</v>
      </c>
    </row>
    <row r="110" spans="1:10">
      <c r="A110" s="40" t="s">
        <v>214</v>
      </c>
      <c r="B110" s="38">
        <f ca="1">IFERROR(__xludf.DUMMYFUNCTION("""COMPUTED_VALUE"""),2)</f>
        <v>2</v>
      </c>
      <c r="C110" s="57" t="s">
        <v>215</v>
      </c>
      <c r="D110" s="57" t="s">
        <v>836</v>
      </c>
      <c r="E110" s="57">
        <v>5</v>
      </c>
      <c r="F110" s="57" t="s">
        <v>561</v>
      </c>
      <c r="G110" s="57" t="s">
        <v>846</v>
      </c>
      <c r="H110" s="57" t="s">
        <v>847</v>
      </c>
      <c r="I110" s="57" t="s">
        <v>853</v>
      </c>
      <c r="J110" s="39" t="str">
        <f ca="1">IFERROR(__xludf.DUMMYFUNCTION("""COMPUTED_VALUE"""),"Monitor organizational systems, including inbound and outbound communications traffic, to detect attacks and indicators of potential attacks.")</f>
        <v>Monitor organizational systems, including inbound and outbound communications traffic, to detect attacks and indicators of potential attacks.</v>
      </c>
    </row>
    <row r="111" spans="1:10">
      <c r="A111" s="40" t="s">
        <v>216</v>
      </c>
      <c r="B111" s="38">
        <f ca="1">IFERROR(__xludf.DUMMYFUNCTION("""COMPUTED_VALUE"""),2)</f>
        <v>2</v>
      </c>
      <c r="C111" s="57" t="s">
        <v>217</v>
      </c>
      <c r="D111" s="57" t="s">
        <v>837</v>
      </c>
      <c r="E111" s="57">
        <v>3</v>
      </c>
      <c r="F111" s="57" t="s">
        <v>561</v>
      </c>
      <c r="G111" s="57" t="s">
        <v>846</v>
      </c>
      <c r="H111" s="57" t="s">
        <v>847</v>
      </c>
      <c r="I111" s="57" t="s">
        <v>854</v>
      </c>
      <c r="J111" s="39" t="str">
        <f ca="1">IFERROR(__xludf.DUMMYFUNCTION("""COMPUTED_VALUE"""),"Identify unauthorized use of organizational systems.")</f>
        <v>Identify unauthorized use of organizational systems.</v>
      </c>
    </row>
  </sheetData>
  <autoFilter ref="A1:J111" xr:uid="{550D2655-09C8-4B97-8C84-2BD0F407F3C9}"/>
  <sortState xmlns:xlrd2="http://schemas.microsoft.com/office/spreadsheetml/2017/richdata2" ref="A3:J111">
    <sortCondition ref="A2:A111"/>
  </sortState>
  <phoneticPr fontId="28" type="noConversion"/>
  <conditionalFormatting sqref="B2:B111">
    <cfRule type="expression" dxfId="4" priority="32">
      <formula>AND(#REF!, OR(ISTEXT($K2), ISTEXT($L2)))</formula>
    </cfRule>
  </conditionalFormatting>
  <conditionalFormatting sqref="A2:B26 J2:J26 C2:D111">
    <cfRule type="expression" dxfId="3" priority="35">
      <formula>#REF!</formula>
    </cfRule>
  </conditionalFormatting>
  <conditionalFormatting sqref="A27:B111 J27:J111">
    <cfRule type="expression" dxfId="2" priority="36">
      <formula>#REF!</formula>
    </cfRule>
  </conditionalFormatting>
  <conditionalFormatting sqref="E2:I111">
    <cfRule type="expression" dxfId="1" priority="1">
      <formula>AND(#REF!, OR(ISTEXT($K2), ISTEXT($L2)))</formula>
    </cfRule>
  </conditionalFormatting>
  <conditionalFormatting sqref="E2:I111">
    <cfRule type="expression" dxfId="0" priority="2">
      <formula>#REF!</formula>
    </cfRule>
  </conditionalFormatting>
  <pageMargins left="0.7" right="0.7" top="0.75" bottom="0.75" header="0.3" footer="0.3"/>
  <pageSetup orientation="portrait" r:id="rId1"/>
  <ignoredErrors>
    <ignoredError sqref="B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34DE-B844-4664-B5EF-71210030D4AE}">
  <sheetPr>
    <tabColor theme="9" tint="0.79998168889431442"/>
  </sheetPr>
  <dimension ref="A1:H111"/>
  <sheetViews>
    <sheetView workbookViewId="0">
      <selection activeCell="D2" sqref="D2"/>
    </sheetView>
  </sheetViews>
  <sheetFormatPr defaultRowHeight="15.75"/>
  <cols>
    <col min="1" max="1" width="15.5" customWidth="1"/>
    <col min="2" max="2" width="19.125" customWidth="1"/>
    <col min="3" max="3" width="22" bestFit="1" customWidth="1"/>
    <col min="4" max="4" width="59.25" customWidth="1"/>
    <col min="5" max="5" width="8.625" customWidth="1"/>
    <col min="6" max="6" width="48.75" hidden="1" customWidth="1"/>
  </cols>
  <sheetData>
    <row r="1" spans="1:8">
      <c r="A1" s="28" t="s">
        <v>27</v>
      </c>
      <c r="B1" s="28" t="s">
        <v>28</v>
      </c>
      <c r="C1" s="28" t="s">
        <v>29</v>
      </c>
      <c r="D1" s="29" t="s">
        <v>30</v>
      </c>
    </row>
    <row r="2" spans="1:8" ht="25.5">
      <c r="A2" s="30" t="s">
        <v>31</v>
      </c>
      <c r="B2" s="30" t="s">
        <v>32</v>
      </c>
      <c r="C2" s="31" t="s">
        <v>33</v>
      </c>
      <c r="D2" s="35" t="s">
        <v>227</v>
      </c>
      <c r="F2" s="32" t="s">
        <v>34</v>
      </c>
      <c r="G2" s="32"/>
      <c r="H2" s="32"/>
    </row>
    <row r="3" spans="1:8" ht="25.5">
      <c r="A3" s="30" t="s">
        <v>35</v>
      </c>
      <c r="B3" s="30" t="s">
        <v>36</v>
      </c>
      <c r="C3" s="31" t="s">
        <v>33</v>
      </c>
      <c r="D3" s="35" t="s">
        <v>228</v>
      </c>
      <c r="F3" s="32" t="s">
        <v>37</v>
      </c>
      <c r="G3" s="32"/>
      <c r="H3" s="32"/>
    </row>
    <row r="4" spans="1:8" ht="25.5">
      <c r="A4" s="30" t="s">
        <v>38</v>
      </c>
      <c r="B4" s="30" t="s">
        <v>39</v>
      </c>
      <c r="C4" s="31" t="s">
        <v>33</v>
      </c>
      <c r="D4" s="35" t="s">
        <v>229</v>
      </c>
      <c r="F4" s="32" t="s">
        <v>40</v>
      </c>
      <c r="G4" s="32"/>
      <c r="H4" s="32"/>
    </row>
    <row r="5" spans="1:8" ht="25.5">
      <c r="A5" s="30" t="s">
        <v>41</v>
      </c>
      <c r="B5" s="30" t="s">
        <v>42</v>
      </c>
      <c r="C5" s="31" t="s">
        <v>33</v>
      </c>
      <c r="D5" s="35" t="s">
        <v>230</v>
      </c>
      <c r="F5" s="32" t="s">
        <v>33</v>
      </c>
    </row>
    <row r="6" spans="1:8" ht="38.25">
      <c r="A6" s="30" t="s">
        <v>43</v>
      </c>
      <c r="B6" s="30" t="s">
        <v>44</v>
      </c>
      <c r="C6" s="31" t="s">
        <v>33</v>
      </c>
      <c r="D6" s="35" t="s">
        <v>231</v>
      </c>
      <c r="F6" s="33" t="s">
        <v>45</v>
      </c>
    </row>
    <row r="7" spans="1:8" ht="25.5">
      <c r="A7" s="30" t="s">
        <v>46</v>
      </c>
      <c r="B7" s="30" t="s">
        <v>47</v>
      </c>
      <c r="C7" s="31" t="s">
        <v>33</v>
      </c>
      <c r="D7" s="35" t="s">
        <v>232</v>
      </c>
      <c r="F7" s="33" t="s">
        <v>48</v>
      </c>
    </row>
    <row r="8" spans="1:8">
      <c r="A8" s="30" t="s">
        <v>49</v>
      </c>
      <c r="B8" s="30" t="s">
        <v>50</v>
      </c>
      <c r="C8" s="31" t="s">
        <v>33</v>
      </c>
      <c r="D8" s="35" t="s">
        <v>233</v>
      </c>
      <c r="F8" s="32" t="s">
        <v>51</v>
      </c>
    </row>
    <row r="9" spans="1:8" ht="25.5">
      <c r="A9" s="30" t="s">
        <v>52</v>
      </c>
      <c r="B9" s="30" t="s">
        <v>53</v>
      </c>
      <c r="C9" s="31" t="s">
        <v>33</v>
      </c>
      <c r="D9" s="35" t="s">
        <v>234</v>
      </c>
    </row>
    <row r="10" spans="1:8">
      <c r="A10" s="30" t="s">
        <v>54</v>
      </c>
      <c r="B10" s="30" t="s">
        <v>55</v>
      </c>
      <c r="C10" s="31" t="s">
        <v>33</v>
      </c>
      <c r="D10" s="35" t="s">
        <v>235</v>
      </c>
    </row>
    <row r="11" spans="1:8" ht="38.25">
      <c r="A11" s="30" t="s">
        <v>56</v>
      </c>
      <c r="B11" s="30" t="s">
        <v>57</v>
      </c>
      <c r="C11" s="31" t="s">
        <v>33</v>
      </c>
      <c r="D11" s="35" t="s">
        <v>236</v>
      </c>
    </row>
    <row r="12" spans="1:8" ht="25.5">
      <c r="A12" s="30" t="s">
        <v>58</v>
      </c>
      <c r="B12" s="30" t="s">
        <v>59</v>
      </c>
      <c r="C12" s="31" t="s">
        <v>33</v>
      </c>
      <c r="D12" s="35" t="s">
        <v>237</v>
      </c>
    </row>
    <row r="13" spans="1:8" ht="25.5">
      <c r="A13" s="30" t="s">
        <v>60</v>
      </c>
      <c r="B13" s="30" t="s">
        <v>61</v>
      </c>
      <c r="C13" s="31" t="s">
        <v>33</v>
      </c>
      <c r="D13" s="35" t="s">
        <v>238</v>
      </c>
    </row>
    <row r="14" spans="1:8" ht="25.5">
      <c r="A14" s="30" t="s">
        <v>62</v>
      </c>
      <c r="B14" s="30" t="s">
        <v>63</v>
      </c>
      <c r="C14" s="31" t="s">
        <v>33</v>
      </c>
      <c r="D14" s="35" t="s">
        <v>239</v>
      </c>
    </row>
    <row r="15" spans="1:8">
      <c r="A15" s="30" t="s">
        <v>64</v>
      </c>
      <c r="B15" s="30" t="s">
        <v>65</v>
      </c>
      <c r="C15" s="31" t="s">
        <v>37</v>
      </c>
      <c r="D15" s="35" t="s">
        <v>66</v>
      </c>
    </row>
    <row r="16" spans="1:8" ht="25.5">
      <c r="A16" s="30" t="s">
        <v>333</v>
      </c>
      <c r="B16" s="30" t="s">
        <v>67</v>
      </c>
      <c r="C16" s="31" t="s">
        <v>33</v>
      </c>
      <c r="D16" s="35" t="s">
        <v>240</v>
      </c>
    </row>
    <row r="17" spans="1:4" ht="25.5">
      <c r="A17" s="30" t="s">
        <v>334</v>
      </c>
      <c r="B17" s="30" t="s">
        <v>68</v>
      </c>
      <c r="C17" s="31" t="s">
        <v>33</v>
      </c>
      <c r="D17" s="35" t="s">
        <v>241</v>
      </c>
    </row>
    <row r="18" spans="1:4" ht="25.5">
      <c r="A18" s="30" t="s">
        <v>335</v>
      </c>
      <c r="B18" s="30" t="s">
        <v>69</v>
      </c>
      <c r="C18" s="31" t="s">
        <v>33</v>
      </c>
      <c r="D18" s="35" t="s">
        <v>242</v>
      </c>
    </row>
    <row r="19" spans="1:4" ht="38.25">
      <c r="A19" s="30" t="s">
        <v>336</v>
      </c>
      <c r="B19" s="30" t="s">
        <v>70</v>
      </c>
      <c r="C19" s="31" t="s">
        <v>33</v>
      </c>
      <c r="D19" s="35" t="s">
        <v>243</v>
      </c>
    </row>
    <row r="20" spans="1:4" ht="25.5">
      <c r="A20" s="30" t="s">
        <v>337</v>
      </c>
      <c r="B20" s="30" t="s">
        <v>71</v>
      </c>
      <c r="C20" s="31" t="s">
        <v>33</v>
      </c>
      <c r="D20" s="35" t="s">
        <v>244</v>
      </c>
    </row>
    <row r="21" spans="1:4" ht="25.5">
      <c r="A21" s="30" t="s">
        <v>338</v>
      </c>
      <c r="B21" s="30" t="s">
        <v>72</v>
      </c>
      <c r="C21" s="31" t="s">
        <v>33</v>
      </c>
      <c r="D21" s="35" t="s">
        <v>245</v>
      </c>
    </row>
    <row r="22" spans="1:4" ht="25.5">
      <c r="A22" s="30" t="s">
        <v>339</v>
      </c>
      <c r="B22" s="30" t="s">
        <v>73</v>
      </c>
      <c r="C22" s="31" t="s">
        <v>33</v>
      </c>
      <c r="D22" s="35" t="s">
        <v>246</v>
      </c>
    </row>
    <row r="23" spans="1:4" ht="25.5">
      <c r="A23" s="30" t="s">
        <v>340</v>
      </c>
      <c r="B23" s="30" t="s">
        <v>74</v>
      </c>
      <c r="C23" s="31" t="s">
        <v>33</v>
      </c>
      <c r="D23" s="35" t="s">
        <v>247</v>
      </c>
    </row>
    <row r="24" spans="1:4" ht="38.25">
      <c r="A24" s="30" t="s">
        <v>76</v>
      </c>
      <c r="B24" s="30" t="s">
        <v>77</v>
      </c>
      <c r="C24" s="31" t="s">
        <v>33</v>
      </c>
      <c r="D24" s="35" t="s">
        <v>248</v>
      </c>
    </row>
    <row r="25" spans="1:4">
      <c r="A25" s="30" t="s">
        <v>78</v>
      </c>
      <c r="B25" s="30" t="s">
        <v>79</v>
      </c>
      <c r="C25" s="31" t="s">
        <v>37</v>
      </c>
      <c r="D25" s="35" t="s">
        <v>66</v>
      </c>
    </row>
    <row r="26" spans="1:4" ht="25.5">
      <c r="A26" s="30" t="s">
        <v>341</v>
      </c>
      <c r="B26" s="30" t="s">
        <v>80</v>
      </c>
      <c r="C26" s="31" t="s">
        <v>33</v>
      </c>
      <c r="D26" s="35" t="s">
        <v>249</v>
      </c>
    </row>
    <row r="27" spans="1:4">
      <c r="A27" s="30" t="s">
        <v>81</v>
      </c>
      <c r="B27" s="30" t="s">
        <v>82</v>
      </c>
      <c r="C27" s="31" t="s">
        <v>37</v>
      </c>
      <c r="D27" s="35" t="s">
        <v>66</v>
      </c>
    </row>
    <row r="28" spans="1:4" ht="25.5">
      <c r="A28" s="30" t="s">
        <v>83</v>
      </c>
      <c r="B28" s="30" t="s">
        <v>84</v>
      </c>
      <c r="C28" s="31" t="s">
        <v>33</v>
      </c>
      <c r="D28" s="35" t="s">
        <v>250</v>
      </c>
    </row>
    <row r="29" spans="1:4" ht="25.5">
      <c r="A29" s="30" t="s">
        <v>85</v>
      </c>
      <c r="B29" s="30" t="s">
        <v>86</v>
      </c>
      <c r="C29" s="31" t="s">
        <v>33</v>
      </c>
      <c r="D29" s="35" t="s">
        <v>251</v>
      </c>
    </row>
    <row r="30" spans="1:4" ht="25.5">
      <c r="A30" s="30" t="s">
        <v>342</v>
      </c>
      <c r="B30" s="30" t="s">
        <v>87</v>
      </c>
      <c r="C30" s="31" t="s">
        <v>33</v>
      </c>
      <c r="D30" s="35" t="s">
        <v>252</v>
      </c>
    </row>
    <row r="31" spans="1:4">
      <c r="A31" s="30" t="s">
        <v>343</v>
      </c>
      <c r="B31" s="30" t="s">
        <v>88</v>
      </c>
      <c r="C31" s="31" t="s">
        <v>33</v>
      </c>
      <c r="D31" s="35" t="s">
        <v>253</v>
      </c>
    </row>
    <row r="32" spans="1:4">
      <c r="A32" s="30" t="s">
        <v>344</v>
      </c>
      <c r="B32" s="30" t="s">
        <v>89</v>
      </c>
      <c r="C32" s="31" t="s">
        <v>33</v>
      </c>
      <c r="D32" s="35" t="s">
        <v>254</v>
      </c>
    </row>
    <row r="33" spans="1:4">
      <c r="A33" s="30" t="s">
        <v>345</v>
      </c>
      <c r="B33" s="30" t="s">
        <v>90</v>
      </c>
      <c r="C33" s="31" t="s">
        <v>33</v>
      </c>
      <c r="D33" s="35" t="s">
        <v>255</v>
      </c>
    </row>
    <row r="34" spans="1:4" ht="25.5">
      <c r="A34" s="30" t="s">
        <v>346</v>
      </c>
      <c r="B34" s="30" t="s">
        <v>91</v>
      </c>
      <c r="C34" s="31" t="s">
        <v>33</v>
      </c>
      <c r="D34" s="35" t="s">
        <v>256</v>
      </c>
    </row>
    <row r="35" spans="1:4">
      <c r="A35" s="30" t="s">
        <v>347</v>
      </c>
      <c r="B35" s="30" t="s">
        <v>92</v>
      </c>
      <c r="C35" s="31" t="s">
        <v>33</v>
      </c>
      <c r="D35" s="35" t="s">
        <v>257</v>
      </c>
    </row>
    <row r="36" spans="1:4">
      <c r="A36" s="30" t="s">
        <v>93</v>
      </c>
      <c r="B36" s="30" t="s">
        <v>94</v>
      </c>
      <c r="C36" s="31" t="s">
        <v>33</v>
      </c>
      <c r="D36" s="35" t="s">
        <v>95</v>
      </c>
    </row>
    <row r="37" spans="1:4" ht="25.5">
      <c r="A37" s="30" t="s">
        <v>96</v>
      </c>
      <c r="B37" s="30" t="s">
        <v>97</v>
      </c>
      <c r="C37" s="31" t="s">
        <v>33</v>
      </c>
      <c r="D37" s="35" t="s">
        <v>258</v>
      </c>
    </row>
    <row r="38" spans="1:4">
      <c r="A38" s="30" t="s">
        <v>98</v>
      </c>
      <c r="B38" s="30" t="s">
        <v>99</v>
      </c>
      <c r="C38" s="31" t="s">
        <v>33</v>
      </c>
      <c r="D38" s="35" t="s">
        <v>259</v>
      </c>
    </row>
    <row r="39" spans="1:4">
      <c r="A39" s="30" t="s">
        <v>348</v>
      </c>
      <c r="B39" s="30" t="s">
        <v>100</v>
      </c>
      <c r="C39" s="31" t="s">
        <v>33</v>
      </c>
      <c r="D39" s="35" t="s">
        <v>260</v>
      </c>
    </row>
    <row r="40" spans="1:4" ht="25.5">
      <c r="A40" s="30" t="s">
        <v>101</v>
      </c>
      <c r="B40" s="30" t="s">
        <v>102</v>
      </c>
      <c r="C40" s="31" t="s">
        <v>33</v>
      </c>
      <c r="D40" s="35" t="s">
        <v>261</v>
      </c>
    </row>
    <row r="41" spans="1:4" ht="25.5">
      <c r="A41" s="30" t="s">
        <v>103</v>
      </c>
      <c r="B41" s="30" t="s">
        <v>104</v>
      </c>
      <c r="C41" s="31" t="s">
        <v>33</v>
      </c>
      <c r="D41" s="35" t="s">
        <v>262</v>
      </c>
    </row>
    <row r="42" spans="1:4" ht="25.5">
      <c r="A42" s="30" t="s">
        <v>105</v>
      </c>
      <c r="B42" s="30" t="s">
        <v>106</v>
      </c>
      <c r="C42" s="31" t="s">
        <v>33</v>
      </c>
      <c r="D42" s="35" t="s">
        <v>263</v>
      </c>
    </row>
    <row r="43" spans="1:4" ht="25.5">
      <c r="A43" s="30" t="s">
        <v>107</v>
      </c>
      <c r="B43" s="30" t="s">
        <v>108</v>
      </c>
      <c r="C43" s="31" t="s">
        <v>33</v>
      </c>
      <c r="D43" s="35" t="s">
        <v>264</v>
      </c>
    </row>
    <row r="44" spans="1:4" ht="25.5">
      <c r="A44" s="30" t="s">
        <v>109</v>
      </c>
      <c r="B44" s="30" t="s">
        <v>110</v>
      </c>
      <c r="C44" s="31" t="s">
        <v>33</v>
      </c>
      <c r="D44" s="35" t="s">
        <v>265</v>
      </c>
    </row>
    <row r="45" spans="1:4" ht="25.5">
      <c r="A45" s="30" t="s">
        <v>111</v>
      </c>
      <c r="B45" s="30" t="s">
        <v>112</v>
      </c>
      <c r="C45" s="31" t="s">
        <v>33</v>
      </c>
      <c r="D45" s="35" t="s">
        <v>266</v>
      </c>
    </row>
    <row r="46" spans="1:4" ht="51">
      <c r="A46" s="30" t="s">
        <v>349</v>
      </c>
      <c r="B46" s="30" t="s">
        <v>113</v>
      </c>
      <c r="C46" s="31" t="s">
        <v>33</v>
      </c>
      <c r="D46" s="35" t="s">
        <v>267</v>
      </c>
    </row>
    <row r="47" spans="1:4" ht="38.25">
      <c r="A47" s="30" t="s">
        <v>350</v>
      </c>
      <c r="B47" s="30" t="s">
        <v>114</v>
      </c>
      <c r="C47" s="31" t="s">
        <v>33</v>
      </c>
      <c r="D47" s="35" t="s">
        <v>268</v>
      </c>
    </row>
    <row r="48" spans="1:4" ht="51">
      <c r="A48" s="30" t="s">
        <v>351</v>
      </c>
      <c r="B48" s="30" t="s">
        <v>115</v>
      </c>
      <c r="C48" s="31" t="s">
        <v>33</v>
      </c>
      <c r="D48" s="35" t="s">
        <v>269</v>
      </c>
    </row>
    <row r="49" spans="1:4" ht="25.5">
      <c r="A49" s="30" t="s">
        <v>116</v>
      </c>
      <c r="B49" s="30" t="s">
        <v>117</v>
      </c>
      <c r="C49" s="31" t="s">
        <v>33</v>
      </c>
      <c r="D49" s="35" t="s">
        <v>270</v>
      </c>
    </row>
    <row r="50" spans="1:4" ht="38.25">
      <c r="A50" s="30" t="s">
        <v>118</v>
      </c>
      <c r="B50" s="30" t="s">
        <v>119</v>
      </c>
      <c r="C50" s="31" t="s">
        <v>33</v>
      </c>
      <c r="D50" s="35" t="s">
        <v>271</v>
      </c>
    </row>
    <row r="51" spans="1:4" ht="25.5">
      <c r="A51" s="30" t="s">
        <v>120</v>
      </c>
      <c r="B51" s="30" t="s">
        <v>121</v>
      </c>
      <c r="C51" s="31" t="s">
        <v>33</v>
      </c>
      <c r="D51" s="35" t="s">
        <v>272</v>
      </c>
    </row>
    <row r="52" spans="1:4" ht="25.5">
      <c r="A52" s="30" t="s">
        <v>122</v>
      </c>
      <c r="B52" s="30" t="s">
        <v>123</v>
      </c>
      <c r="C52" s="31" t="s">
        <v>33</v>
      </c>
      <c r="D52" s="35" t="s">
        <v>273</v>
      </c>
    </row>
    <row r="53" spans="1:4" ht="25.5">
      <c r="A53" s="30" t="s">
        <v>124</v>
      </c>
      <c r="B53" s="30" t="s">
        <v>125</v>
      </c>
      <c r="C53" s="31" t="s">
        <v>33</v>
      </c>
      <c r="D53" s="35" t="s">
        <v>274</v>
      </c>
    </row>
    <row r="54" spans="1:4" ht="25.5">
      <c r="A54" s="30" t="s">
        <v>126</v>
      </c>
      <c r="B54" s="30" t="s">
        <v>127</v>
      </c>
      <c r="C54" s="31" t="s">
        <v>33</v>
      </c>
      <c r="D54" s="35" t="s">
        <v>275</v>
      </c>
    </row>
    <row r="55" spans="1:4" ht="25.5">
      <c r="A55" s="30" t="s">
        <v>128</v>
      </c>
      <c r="B55" s="30" t="s">
        <v>129</v>
      </c>
      <c r="C55" s="31" t="s">
        <v>33</v>
      </c>
      <c r="D55" s="35" t="s">
        <v>276</v>
      </c>
    </row>
    <row r="56" spans="1:4" ht="25.5">
      <c r="A56" s="30" t="s">
        <v>352</v>
      </c>
      <c r="B56" s="30" t="s">
        <v>130</v>
      </c>
      <c r="C56" s="31" t="s">
        <v>33</v>
      </c>
      <c r="D56" s="35" t="s">
        <v>131</v>
      </c>
    </row>
    <row r="57" spans="1:4" ht="38.25">
      <c r="A57" s="30" t="s">
        <v>353</v>
      </c>
      <c r="B57" s="30" t="s">
        <v>132</v>
      </c>
      <c r="C57" s="31" t="s">
        <v>33</v>
      </c>
      <c r="D57" s="35" t="s">
        <v>277</v>
      </c>
    </row>
    <row r="58" spans="1:4" ht="25.5">
      <c r="A58" s="30" t="s">
        <v>354</v>
      </c>
      <c r="B58" s="30" t="s">
        <v>133</v>
      </c>
      <c r="C58" s="31" t="s">
        <v>33</v>
      </c>
      <c r="D58" s="35" t="s">
        <v>278</v>
      </c>
    </row>
    <row r="59" spans="1:4" ht="25.5">
      <c r="A59" s="30" t="s">
        <v>355</v>
      </c>
      <c r="B59" s="30" t="s">
        <v>134</v>
      </c>
      <c r="C59" s="31" t="s">
        <v>33</v>
      </c>
      <c r="D59" s="35" t="s">
        <v>279</v>
      </c>
    </row>
    <row r="60" spans="1:4" ht="63.75">
      <c r="A60" s="30" t="s">
        <v>135</v>
      </c>
      <c r="B60" s="30" t="s">
        <v>136</v>
      </c>
      <c r="C60" s="31" t="s">
        <v>51</v>
      </c>
      <c r="D60" s="35" t="s">
        <v>280</v>
      </c>
    </row>
    <row r="61" spans="1:4" ht="38.25">
      <c r="A61" s="30" t="s">
        <v>356</v>
      </c>
      <c r="B61" s="30" t="s">
        <v>137</v>
      </c>
      <c r="C61" s="31" t="s">
        <v>33</v>
      </c>
      <c r="D61" s="35" t="s">
        <v>281</v>
      </c>
    </row>
    <row r="62" spans="1:4" ht="51">
      <c r="A62" s="30" t="s">
        <v>357</v>
      </c>
      <c r="B62" s="30" t="s">
        <v>138</v>
      </c>
      <c r="C62" s="31" t="s">
        <v>51</v>
      </c>
      <c r="D62" s="35" t="s">
        <v>282</v>
      </c>
    </row>
    <row r="63" spans="1:4" ht="25.5">
      <c r="A63" s="30" t="s">
        <v>139</v>
      </c>
      <c r="B63" s="30" t="s">
        <v>140</v>
      </c>
      <c r="C63" s="31" t="s">
        <v>33</v>
      </c>
      <c r="D63" s="35" t="s">
        <v>283</v>
      </c>
    </row>
    <row r="64" spans="1:4" ht="38.25">
      <c r="A64" s="30" t="s">
        <v>141</v>
      </c>
      <c r="B64" s="30" t="s">
        <v>142</v>
      </c>
      <c r="C64" s="31" t="s">
        <v>33</v>
      </c>
      <c r="D64" s="35" t="s">
        <v>284</v>
      </c>
    </row>
    <row r="65" spans="1:4" ht="51">
      <c r="A65" s="30" t="s">
        <v>143</v>
      </c>
      <c r="B65" s="30" t="s">
        <v>144</v>
      </c>
      <c r="C65" s="31" t="s">
        <v>33</v>
      </c>
      <c r="D65" s="35" t="s">
        <v>285</v>
      </c>
    </row>
    <row r="66" spans="1:4" ht="38.25">
      <c r="A66" s="30" t="s">
        <v>145</v>
      </c>
      <c r="B66" s="30" t="s">
        <v>146</v>
      </c>
      <c r="C66" s="31" t="s">
        <v>33</v>
      </c>
      <c r="D66" s="35" t="s">
        <v>286</v>
      </c>
    </row>
    <row r="67" spans="1:4" ht="25.5">
      <c r="A67" s="30" t="s">
        <v>358</v>
      </c>
      <c r="B67" s="30" t="s">
        <v>147</v>
      </c>
      <c r="C67" s="31" t="s">
        <v>33</v>
      </c>
      <c r="D67" s="35" t="s">
        <v>287</v>
      </c>
    </row>
    <row r="68" spans="1:4" ht="38.25">
      <c r="A68" s="30" t="s">
        <v>359</v>
      </c>
      <c r="B68" s="30" t="s">
        <v>148</v>
      </c>
      <c r="C68" s="31" t="s">
        <v>33</v>
      </c>
      <c r="D68" s="35" t="s">
        <v>288</v>
      </c>
    </row>
    <row r="69" spans="1:4" ht="25.5">
      <c r="A69" s="30" t="s">
        <v>149</v>
      </c>
      <c r="B69" s="30" t="s">
        <v>150</v>
      </c>
      <c r="C69" s="31" t="s">
        <v>33</v>
      </c>
      <c r="D69" s="35" t="s">
        <v>289</v>
      </c>
    </row>
    <row r="70" spans="1:4" ht="25.5">
      <c r="A70" s="30" t="s">
        <v>151</v>
      </c>
      <c r="B70" s="30" t="s">
        <v>152</v>
      </c>
      <c r="C70" s="31" t="s">
        <v>33</v>
      </c>
      <c r="D70" s="35" t="s">
        <v>290</v>
      </c>
    </row>
    <row r="71" spans="1:4" ht="25.5">
      <c r="A71" s="30" t="s">
        <v>153</v>
      </c>
      <c r="B71" s="30" t="s">
        <v>154</v>
      </c>
      <c r="C71" s="31" t="s">
        <v>33</v>
      </c>
      <c r="D71" s="35" t="s">
        <v>291</v>
      </c>
    </row>
    <row r="72" spans="1:4" ht="25.5">
      <c r="A72" s="30" t="s">
        <v>155</v>
      </c>
      <c r="B72" s="30" t="s">
        <v>156</v>
      </c>
      <c r="C72" s="31" t="s">
        <v>33</v>
      </c>
      <c r="D72" s="35" t="s">
        <v>292</v>
      </c>
    </row>
    <row r="73" spans="1:4" ht="25.5">
      <c r="A73" s="30" t="s">
        <v>360</v>
      </c>
      <c r="B73" s="30" t="s">
        <v>157</v>
      </c>
      <c r="C73" s="31" t="s">
        <v>33</v>
      </c>
      <c r="D73" s="35" t="s">
        <v>293</v>
      </c>
    </row>
    <row r="74" spans="1:4" ht="25.5">
      <c r="A74" s="30" t="s">
        <v>361</v>
      </c>
      <c r="B74" s="30" t="s">
        <v>158</v>
      </c>
      <c r="C74" s="31" t="s">
        <v>33</v>
      </c>
      <c r="D74" s="35" t="s">
        <v>294</v>
      </c>
    </row>
    <row r="75" spans="1:4" ht="38.25">
      <c r="A75" s="30" t="s">
        <v>362</v>
      </c>
      <c r="B75" s="30" t="s">
        <v>159</v>
      </c>
      <c r="C75" s="31" t="s">
        <v>33</v>
      </c>
      <c r="D75" s="35" t="s">
        <v>295</v>
      </c>
    </row>
    <row r="76" spans="1:4" ht="51">
      <c r="A76" s="30" t="s">
        <v>363</v>
      </c>
      <c r="B76" s="30" t="s">
        <v>160</v>
      </c>
      <c r="C76" s="31" t="s">
        <v>33</v>
      </c>
      <c r="D76" s="35" t="s">
        <v>296</v>
      </c>
    </row>
    <row r="77" spans="1:4" ht="38.25">
      <c r="A77" s="30" t="s">
        <v>161</v>
      </c>
      <c r="B77" s="30" t="s">
        <v>162</v>
      </c>
      <c r="C77" s="31" t="s">
        <v>33</v>
      </c>
      <c r="D77" s="35" t="s">
        <v>297</v>
      </c>
    </row>
    <row r="78" spans="1:4" ht="25.5">
      <c r="A78" s="30" t="s">
        <v>163</v>
      </c>
      <c r="B78" s="30" t="s">
        <v>164</v>
      </c>
      <c r="C78" s="31" t="s">
        <v>33</v>
      </c>
      <c r="D78" s="35" t="s">
        <v>298</v>
      </c>
    </row>
    <row r="79" spans="1:4" ht="25.5">
      <c r="A79" s="30" t="s">
        <v>165</v>
      </c>
      <c r="B79" s="30" t="s">
        <v>166</v>
      </c>
      <c r="C79" s="31" t="s">
        <v>33</v>
      </c>
      <c r="D79" s="35" t="s">
        <v>299</v>
      </c>
    </row>
    <row r="80" spans="1:4" ht="25.5">
      <c r="A80" s="30" t="s">
        <v>167</v>
      </c>
      <c r="B80" s="30" t="s">
        <v>168</v>
      </c>
      <c r="C80" s="31" t="s">
        <v>33</v>
      </c>
      <c r="D80" s="35" t="s">
        <v>300</v>
      </c>
    </row>
    <row r="81" spans="1:4" ht="38.25">
      <c r="A81" s="30" t="s">
        <v>169</v>
      </c>
      <c r="B81" s="30" t="s">
        <v>170</v>
      </c>
      <c r="C81" s="31" t="s">
        <v>33</v>
      </c>
      <c r="D81" s="35" t="s">
        <v>301</v>
      </c>
    </row>
    <row r="82" spans="1:4" ht="25.5">
      <c r="A82" s="30" t="s">
        <v>364</v>
      </c>
      <c r="B82" s="30" t="s">
        <v>171</v>
      </c>
      <c r="C82" s="31" t="s">
        <v>33</v>
      </c>
      <c r="D82" s="35" t="s">
        <v>302</v>
      </c>
    </row>
    <row r="83" spans="1:4" ht="25.5">
      <c r="A83" s="30" t="s">
        <v>172</v>
      </c>
      <c r="B83" s="30" t="s">
        <v>173</v>
      </c>
      <c r="C83" s="31" t="s">
        <v>33</v>
      </c>
      <c r="D83" s="35" t="s">
        <v>303</v>
      </c>
    </row>
    <row r="84" spans="1:4" ht="38.25">
      <c r="A84" s="30" t="s">
        <v>174</v>
      </c>
      <c r="B84" s="30" t="s">
        <v>175</v>
      </c>
      <c r="C84" s="31" t="s">
        <v>33</v>
      </c>
      <c r="D84" s="35" t="s">
        <v>304</v>
      </c>
    </row>
    <row r="85" spans="1:4" ht="25.5">
      <c r="A85" s="30" t="s">
        <v>176</v>
      </c>
      <c r="B85" s="30" t="s">
        <v>177</v>
      </c>
      <c r="C85" s="31" t="s">
        <v>33</v>
      </c>
      <c r="D85" s="35" t="s">
        <v>305</v>
      </c>
    </row>
    <row r="86" spans="1:4" ht="63.75">
      <c r="A86" s="30" t="s">
        <v>178</v>
      </c>
      <c r="B86" s="30" t="s">
        <v>179</v>
      </c>
      <c r="C86" s="31" t="s">
        <v>33</v>
      </c>
      <c r="D86" s="35" t="s">
        <v>306</v>
      </c>
    </row>
    <row r="87" spans="1:4" ht="38.25">
      <c r="A87" s="30" t="s">
        <v>180</v>
      </c>
      <c r="B87" s="30" t="s">
        <v>181</v>
      </c>
      <c r="C87" s="31" t="s">
        <v>33</v>
      </c>
      <c r="D87" s="35" t="s">
        <v>307</v>
      </c>
    </row>
    <row r="88" spans="1:4" ht="25.5">
      <c r="A88" s="30" t="s">
        <v>182</v>
      </c>
      <c r="B88" s="30" t="s">
        <v>183</v>
      </c>
      <c r="C88" s="31" t="s">
        <v>33</v>
      </c>
      <c r="D88" s="35" t="s">
        <v>308</v>
      </c>
    </row>
    <row r="89" spans="1:4" ht="51">
      <c r="A89" s="30" t="s">
        <v>184</v>
      </c>
      <c r="B89" s="30" t="s">
        <v>185</v>
      </c>
      <c r="C89" s="31" t="s">
        <v>33</v>
      </c>
      <c r="D89" s="35" t="s">
        <v>309</v>
      </c>
    </row>
    <row r="90" spans="1:4" ht="38.25">
      <c r="A90" s="30" t="s">
        <v>186</v>
      </c>
      <c r="B90" s="30" t="s">
        <v>187</v>
      </c>
      <c r="C90" s="31" t="s">
        <v>33</v>
      </c>
      <c r="D90" s="35" t="s">
        <v>310</v>
      </c>
    </row>
    <row r="91" spans="1:4" ht="25.5">
      <c r="A91" s="30" t="s">
        <v>189</v>
      </c>
      <c r="B91" s="34" t="s">
        <v>75</v>
      </c>
      <c r="C91" s="31" t="s">
        <v>33</v>
      </c>
      <c r="D91" s="35" t="s">
        <v>311</v>
      </c>
    </row>
    <row r="92" spans="1:4" ht="25.5">
      <c r="A92" s="30" t="s">
        <v>365</v>
      </c>
      <c r="B92" s="30" t="s">
        <v>190</v>
      </c>
      <c r="C92" s="31" t="s">
        <v>33</v>
      </c>
      <c r="D92" s="35" t="s">
        <v>191</v>
      </c>
    </row>
    <row r="93" spans="1:4" ht="51">
      <c r="A93" s="30" t="s">
        <v>366</v>
      </c>
      <c r="B93" s="30" t="s">
        <v>192</v>
      </c>
      <c r="C93" s="31" t="s">
        <v>33</v>
      </c>
      <c r="D93" s="35" t="s">
        <v>312</v>
      </c>
    </row>
    <row r="94" spans="1:4" ht="25.5">
      <c r="A94" s="30" t="s">
        <v>367</v>
      </c>
      <c r="B94" s="30" t="s">
        <v>193</v>
      </c>
      <c r="C94" s="31" t="s">
        <v>33</v>
      </c>
      <c r="D94" s="35" t="s">
        <v>313</v>
      </c>
    </row>
    <row r="95" spans="1:4" ht="25.5">
      <c r="A95" s="30" t="s">
        <v>368</v>
      </c>
      <c r="B95" s="30" t="s">
        <v>194</v>
      </c>
      <c r="C95" s="31" t="s">
        <v>33</v>
      </c>
      <c r="D95" s="35" t="s">
        <v>314</v>
      </c>
    </row>
    <row r="96" spans="1:4" ht="38.25">
      <c r="A96" s="30" t="s">
        <v>369</v>
      </c>
      <c r="B96" s="30" t="s">
        <v>195</v>
      </c>
      <c r="C96" s="31" t="s">
        <v>33</v>
      </c>
      <c r="D96" s="35" t="s">
        <v>315</v>
      </c>
    </row>
    <row r="97" spans="1:4" ht="51">
      <c r="A97" s="30" t="s">
        <v>370</v>
      </c>
      <c r="B97" s="30" t="s">
        <v>196</v>
      </c>
      <c r="C97" s="31" t="s">
        <v>33</v>
      </c>
      <c r="D97" s="35" t="s">
        <v>316</v>
      </c>
    </row>
    <row r="98" spans="1:4" ht="38.25">
      <c r="A98" s="30" t="s">
        <v>371</v>
      </c>
      <c r="B98" s="30" t="s">
        <v>197</v>
      </c>
      <c r="C98" s="31" t="s">
        <v>33</v>
      </c>
      <c r="D98" s="35" t="s">
        <v>317</v>
      </c>
    </row>
    <row r="99" spans="1:4" ht="38.25">
      <c r="A99" s="30" t="s">
        <v>372</v>
      </c>
      <c r="B99" s="30" t="s">
        <v>198</v>
      </c>
      <c r="C99" s="31" t="s">
        <v>33</v>
      </c>
      <c r="D99" s="35" t="s">
        <v>318</v>
      </c>
    </row>
    <row r="100" spans="1:4" ht="25.5">
      <c r="A100" s="30" t="s">
        <v>373</v>
      </c>
      <c r="B100" s="30" t="s">
        <v>199</v>
      </c>
      <c r="C100" s="31" t="s">
        <v>33</v>
      </c>
      <c r="D100" s="35" t="s">
        <v>319</v>
      </c>
    </row>
    <row r="101" spans="1:4" ht="25.5">
      <c r="A101" s="30" t="s">
        <v>374</v>
      </c>
      <c r="B101" s="30" t="s">
        <v>200</v>
      </c>
      <c r="C101" s="31" t="s">
        <v>33</v>
      </c>
      <c r="D101" s="35" t="s">
        <v>320</v>
      </c>
    </row>
    <row r="102" spans="1:4" ht="25.5">
      <c r="A102" s="30" t="s">
        <v>375</v>
      </c>
      <c r="B102" s="30" t="s">
        <v>201</v>
      </c>
      <c r="C102" s="31" t="s">
        <v>33</v>
      </c>
      <c r="D102" s="35" t="s">
        <v>321</v>
      </c>
    </row>
    <row r="103" spans="1:4" ht="25.5">
      <c r="A103" s="30" t="s">
        <v>376</v>
      </c>
      <c r="B103" s="30" t="s">
        <v>202</v>
      </c>
      <c r="C103" s="31" t="s">
        <v>33</v>
      </c>
      <c r="D103" s="35" t="s">
        <v>322</v>
      </c>
    </row>
    <row r="104" spans="1:4" ht="25.5">
      <c r="A104" s="30" t="s">
        <v>377</v>
      </c>
      <c r="B104" s="30" t="s">
        <v>203</v>
      </c>
      <c r="C104" s="31" t="s">
        <v>33</v>
      </c>
      <c r="D104" s="35" t="s">
        <v>323</v>
      </c>
    </row>
    <row r="105" spans="1:4" ht="25.5">
      <c r="A105" s="30" t="s">
        <v>204</v>
      </c>
      <c r="B105" s="30" t="s">
        <v>205</v>
      </c>
      <c r="C105" s="31" t="s">
        <v>33</v>
      </c>
      <c r="D105" s="35" t="s">
        <v>324</v>
      </c>
    </row>
    <row r="106" spans="1:4" ht="38.25">
      <c r="A106" s="30" t="s">
        <v>206</v>
      </c>
      <c r="B106" s="30" t="s">
        <v>207</v>
      </c>
      <c r="C106" s="31" t="s">
        <v>33</v>
      </c>
      <c r="D106" s="35" t="s">
        <v>325</v>
      </c>
    </row>
    <row r="107" spans="1:4" ht="25.5">
      <c r="A107" s="30" t="s">
        <v>208</v>
      </c>
      <c r="B107" s="30" t="s">
        <v>209</v>
      </c>
      <c r="C107" s="31" t="s">
        <v>33</v>
      </c>
      <c r="D107" s="35" t="s">
        <v>326</v>
      </c>
    </row>
    <row r="108" spans="1:4" ht="38.25">
      <c r="A108" s="30" t="s">
        <v>210</v>
      </c>
      <c r="B108" s="30" t="s">
        <v>211</v>
      </c>
      <c r="C108" s="31" t="s">
        <v>33</v>
      </c>
      <c r="D108" s="35" t="s">
        <v>327</v>
      </c>
    </row>
    <row r="109" spans="1:4" ht="25.5">
      <c r="A109" s="30" t="s">
        <v>212</v>
      </c>
      <c r="B109" s="30" t="s">
        <v>213</v>
      </c>
      <c r="C109" s="31" t="s">
        <v>33</v>
      </c>
      <c r="D109" s="35" t="s">
        <v>328</v>
      </c>
    </row>
    <row r="110" spans="1:4" ht="38.25">
      <c r="A110" s="30" t="s">
        <v>214</v>
      </c>
      <c r="B110" s="30" t="s">
        <v>215</v>
      </c>
      <c r="C110" s="31" t="s">
        <v>33</v>
      </c>
      <c r="D110" s="35" t="s">
        <v>329</v>
      </c>
    </row>
    <row r="111" spans="1:4" ht="25.5">
      <c r="A111" s="30" t="s">
        <v>216</v>
      </c>
      <c r="B111" s="30" t="s">
        <v>217</v>
      </c>
      <c r="C111" s="31" t="s">
        <v>33</v>
      </c>
      <c r="D111" s="35" t="s">
        <v>330</v>
      </c>
    </row>
  </sheetData>
  <dataValidations count="1">
    <dataValidation type="list" allowBlank="1" showInputMessage="1" showErrorMessage="1" sqref="C2:C111" xr:uid="{E09E0DB2-67C5-4DFF-AC31-4870391D905D}">
      <formula1>$F$1:$F$8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B5A8-978D-49DA-8BC6-5792AC2345B1}">
  <sheetPr>
    <tabColor theme="9" tint="0.59999389629810485"/>
  </sheetPr>
  <dimension ref="A1:K84"/>
  <sheetViews>
    <sheetView workbookViewId="0">
      <selection activeCell="A2" sqref="A2:C16"/>
    </sheetView>
  </sheetViews>
  <sheetFormatPr defaultRowHeight="15.75"/>
  <cols>
    <col min="3" max="3" width="31.75" bestFit="1" customWidth="1"/>
  </cols>
  <sheetData>
    <row r="1" spans="1:11" ht="82.5" customHeight="1">
      <c r="B1" s="74" t="s">
        <v>559</v>
      </c>
      <c r="C1" s="74"/>
      <c r="D1" s="74"/>
      <c r="E1" s="74"/>
      <c r="F1" s="74"/>
      <c r="G1" s="74"/>
      <c r="H1" s="74"/>
      <c r="I1" s="74"/>
      <c r="J1" s="74"/>
      <c r="K1" s="74"/>
    </row>
    <row r="2" spans="1:11">
      <c r="A2" t="s">
        <v>481</v>
      </c>
      <c r="B2" t="s">
        <v>395</v>
      </c>
      <c r="C2" t="s">
        <v>396</v>
      </c>
    </row>
    <row r="3" spans="1:11">
      <c r="A3" t="s">
        <v>481</v>
      </c>
      <c r="B3" t="s">
        <v>397</v>
      </c>
      <c r="C3" t="s">
        <v>398</v>
      </c>
    </row>
    <row r="4" spans="1:11">
      <c r="A4" t="s">
        <v>481</v>
      </c>
      <c r="B4" t="s">
        <v>399</v>
      </c>
      <c r="C4" t="s">
        <v>400</v>
      </c>
    </row>
    <row r="5" spans="1:11">
      <c r="A5" t="s">
        <v>481</v>
      </c>
      <c r="B5" t="s">
        <v>401</v>
      </c>
      <c r="C5" t="s">
        <v>402</v>
      </c>
    </row>
    <row r="6" spans="1:11">
      <c r="A6" t="s">
        <v>481</v>
      </c>
      <c r="B6" t="s">
        <v>403</v>
      </c>
      <c r="C6" t="s">
        <v>404</v>
      </c>
    </row>
    <row r="7" spans="1:11">
      <c r="A7" t="s">
        <v>481</v>
      </c>
      <c r="B7" t="s">
        <v>405</v>
      </c>
      <c r="C7" t="s">
        <v>406</v>
      </c>
    </row>
    <row r="8" spans="1:11">
      <c r="A8" t="s">
        <v>481</v>
      </c>
      <c r="B8" t="s">
        <v>407</v>
      </c>
      <c r="C8" t="s">
        <v>408</v>
      </c>
    </row>
    <row r="9" spans="1:11">
      <c r="A9" t="s">
        <v>481</v>
      </c>
      <c r="B9" t="s">
        <v>409</v>
      </c>
      <c r="C9" t="s">
        <v>410</v>
      </c>
    </row>
    <row r="10" spans="1:11">
      <c r="A10" t="s">
        <v>481</v>
      </c>
      <c r="B10" t="s">
        <v>411</v>
      </c>
      <c r="C10" t="s">
        <v>412</v>
      </c>
    </row>
    <row r="11" spans="1:11">
      <c r="A11" t="s">
        <v>481</v>
      </c>
      <c r="B11" t="s">
        <v>413</v>
      </c>
      <c r="C11" t="s">
        <v>414</v>
      </c>
    </row>
    <row r="12" spans="1:11">
      <c r="A12" t="s">
        <v>481</v>
      </c>
      <c r="B12" t="s">
        <v>415</v>
      </c>
      <c r="C12" t="s">
        <v>416</v>
      </c>
    </row>
    <row r="13" spans="1:11">
      <c r="A13" t="s">
        <v>481</v>
      </c>
      <c r="B13" t="s">
        <v>417</v>
      </c>
      <c r="C13" t="s">
        <v>418</v>
      </c>
    </row>
    <row r="14" spans="1:11">
      <c r="A14" t="s">
        <v>481</v>
      </c>
      <c r="B14" t="s">
        <v>419</v>
      </c>
      <c r="C14" t="s">
        <v>420</v>
      </c>
    </row>
    <row r="15" spans="1:11">
      <c r="A15" t="s">
        <v>481</v>
      </c>
      <c r="B15" t="s">
        <v>421</v>
      </c>
      <c r="C15" t="s">
        <v>422</v>
      </c>
    </row>
    <row r="16" spans="1:11">
      <c r="A16" t="s">
        <v>481</v>
      </c>
      <c r="B16" t="s">
        <v>423</v>
      </c>
      <c r="C16" t="s">
        <v>424</v>
      </c>
    </row>
    <row r="18" spans="1:3">
      <c r="A18" t="s">
        <v>481</v>
      </c>
      <c r="B18" t="s">
        <v>425</v>
      </c>
      <c r="C18" t="s">
        <v>426</v>
      </c>
    </row>
    <row r="19" spans="1:3">
      <c r="A19" t="s">
        <v>481</v>
      </c>
      <c r="B19" t="s">
        <v>427</v>
      </c>
      <c r="C19" t="s">
        <v>428</v>
      </c>
    </row>
    <row r="20" spans="1:3">
      <c r="A20" t="s">
        <v>481</v>
      </c>
      <c r="B20" t="s">
        <v>429</v>
      </c>
      <c r="C20" t="s">
        <v>430</v>
      </c>
    </row>
    <row r="21" spans="1:3">
      <c r="A21" t="s">
        <v>481</v>
      </c>
      <c r="B21" t="s">
        <v>431</v>
      </c>
      <c r="C21" t="s">
        <v>432</v>
      </c>
    </row>
    <row r="22" spans="1:3">
      <c r="A22" t="s">
        <v>481</v>
      </c>
      <c r="B22" t="s">
        <v>433</v>
      </c>
      <c r="C22" t="s">
        <v>434</v>
      </c>
    </row>
    <row r="23" spans="1:3">
      <c r="A23" t="s">
        <v>481</v>
      </c>
      <c r="B23" t="s">
        <v>435</v>
      </c>
      <c r="C23" t="s">
        <v>436</v>
      </c>
    </row>
    <row r="24" spans="1:3">
      <c r="A24" t="s">
        <v>481</v>
      </c>
      <c r="B24" t="s">
        <v>437</v>
      </c>
      <c r="C24" t="s">
        <v>438</v>
      </c>
    </row>
    <row r="25" spans="1:3">
      <c r="A25" t="s">
        <v>481</v>
      </c>
      <c r="B25" t="s">
        <v>439</v>
      </c>
      <c r="C25" t="s">
        <v>440</v>
      </c>
    </row>
    <row r="26" spans="1:3">
      <c r="A26" t="s">
        <v>481</v>
      </c>
      <c r="B26" t="s">
        <v>441</v>
      </c>
      <c r="C26" t="s">
        <v>442</v>
      </c>
    </row>
    <row r="27" spans="1:3">
      <c r="A27" t="s">
        <v>481</v>
      </c>
      <c r="B27" t="s">
        <v>443</v>
      </c>
      <c r="C27" t="s">
        <v>444</v>
      </c>
    </row>
    <row r="28" spans="1:3">
      <c r="A28" t="s">
        <v>481</v>
      </c>
      <c r="B28" t="s">
        <v>445</v>
      </c>
      <c r="C28" t="s">
        <v>446</v>
      </c>
    </row>
    <row r="29" spans="1:3">
      <c r="A29" t="s">
        <v>481</v>
      </c>
      <c r="B29" t="s">
        <v>447</v>
      </c>
      <c r="C29" t="s">
        <v>448</v>
      </c>
    </row>
    <row r="30" spans="1:3">
      <c r="A30" t="s">
        <v>481</v>
      </c>
      <c r="B30" t="s">
        <v>449</v>
      </c>
      <c r="C30" t="s">
        <v>450</v>
      </c>
    </row>
    <row r="31" spans="1:3">
      <c r="A31" t="s">
        <v>481</v>
      </c>
      <c r="B31" t="s">
        <v>451</v>
      </c>
      <c r="C31" t="s">
        <v>452</v>
      </c>
    </row>
    <row r="32" spans="1:3">
      <c r="A32" t="s">
        <v>481</v>
      </c>
      <c r="B32" t="s">
        <v>453</v>
      </c>
      <c r="C32" t="s">
        <v>454</v>
      </c>
    </row>
    <row r="33" spans="1:3">
      <c r="A33" t="s">
        <v>481</v>
      </c>
      <c r="B33" t="s">
        <v>455</v>
      </c>
      <c r="C33" t="s">
        <v>456</v>
      </c>
    </row>
    <row r="34" spans="1:3">
      <c r="A34" t="s">
        <v>481</v>
      </c>
      <c r="B34" t="s">
        <v>457</v>
      </c>
      <c r="C34" t="s">
        <v>458</v>
      </c>
    </row>
    <row r="35" spans="1:3">
      <c r="A35" t="s">
        <v>481</v>
      </c>
      <c r="B35" t="s">
        <v>459</v>
      </c>
      <c r="C35" t="s">
        <v>460</v>
      </c>
    </row>
    <row r="36" spans="1:3">
      <c r="A36" t="s">
        <v>481</v>
      </c>
      <c r="B36" t="s">
        <v>461</v>
      </c>
      <c r="C36" t="s">
        <v>462</v>
      </c>
    </row>
    <row r="37" spans="1:3">
      <c r="A37" t="s">
        <v>481</v>
      </c>
      <c r="B37" t="s">
        <v>463</v>
      </c>
      <c r="C37" t="s">
        <v>464</v>
      </c>
    </row>
    <row r="38" spans="1:3">
      <c r="A38" t="s">
        <v>481</v>
      </c>
      <c r="B38" t="s">
        <v>465</v>
      </c>
      <c r="C38" t="s">
        <v>466</v>
      </c>
    </row>
    <row r="39" spans="1:3">
      <c r="A39" t="s">
        <v>481</v>
      </c>
      <c r="B39" t="s">
        <v>467</v>
      </c>
      <c r="C39" t="s">
        <v>468</v>
      </c>
    </row>
    <row r="40" spans="1:3">
      <c r="A40" t="s">
        <v>481</v>
      </c>
      <c r="B40" t="s">
        <v>469</v>
      </c>
      <c r="C40" t="s">
        <v>470</v>
      </c>
    </row>
    <row r="41" spans="1:3">
      <c r="A41" t="s">
        <v>481</v>
      </c>
      <c r="B41" t="s">
        <v>471</v>
      </c>
      <c r="C41" t="s">
        <v>472</v>
      </c>
    </row>
    <row r="42" spans="1:3">
      <c r="A42" t="s">
        <v>481</v>
      </c>
      <c r="B42" t="s">
        <v>473</v>
      </c>
      <c r="C42" t="s">
        <v>474</v>
      </c>
    </row>
    <row r="43" spans="1:3">
      <c r="A43" t="s">
        <v>481</v>
      </c>
      <c r="B43" t="s">
        <v>475</v>
      </c>
      <c r="C43" t="s">
        <v>476</v>
      </c>
    </row>
    <row r="44" spans="1:3">
      <c r="A44" t="s">
        <v>481</v>
      </c>
      <c r="B44" t="s">
        <v>477</v>
      </c>
      <c r="C44" t="s">
        <v>478</v>
      </c>
    </row>
    <row r="45" spans="1:3">
      <c r="A45" t="s">
        <v>481</v>
      </c>
      <c r="B45" t="s">
        <v>479</v>
      </c>
      <c r="C45" t="s">
        <v>480</v>
      </c>
    </row>
    <row r="47" spans="1:3">
      <c r="A47" t="s">
        <v>484</v>
      </c>
      <c r="B47" t="s">
        <v>482</v>
      </c>
      <c r="C47" t="s">
        <v>483</v>
      </c>
    </row>
    <row r="48" spans="1:3">
      <c r="A48" t="s">
        <v>484</v>
      </c>
      <c r="B48" t="s">
        <v>485</v>
      </c>
      <c r="C48" t="s">
        <v>486</v>
      </c>
    </row>
    <row r="49" spans="1:3">
      <c r="A49" t="s">
        <v>484</v>
      </c>
      <c r="B49" t="s">
        <v>487</v>
      </c>
      <c r="C49" t="s">
        <v>488</v>
      </c>
    </row>
    <row r="50" spans="1:3">
      <c r="A50" t="s">
        <v>484</v>
      </c>
      <c r="B50" t="s">
        <v>489</v>
      </c>
      <c r="C50" t="s">
        <v>490</v>
      </c>
    </row>
    <row r="51" spans="1:3">
      <c r="A51" t="s">
        <v>484</v>
      </c>
      <c r="B51" t="s">
        <v>491</v>
      </c>
      <c r="C51" t="s">
        <v>492</v>
      </c>
    </row>
    <row r="52" spans="1:3">
      <c r="A52" t="s">
        <v>484</v>
      </c>
      <c r="B52" t="s">
        <v>493</v>
      </c>
      <c r="C52" t="s">
        <v>494</v>
      </c>
    </row>
    <row r="53" spans="1:3">
      <c r="A53" t="s">
        <v>484</v>
      </c>
      <c r="B53" t="s">
        <v>495</v>
      </c>
      <c r="C53" t="s">
        <v>496</v>
      </c>
    </row>
    <row r="54" spans="1:3">
      <c r="A54" t="s">
        <v>484</v>
      </c>
      <c r="B54" t="s">
        <v>497</v>
      </c>
      <c r="C54" t="s">
        <v>498</v>
      </c>
    </row>
    <row r="55" spans="1:3">
      <c r="A55" t="s">
        <v>484</v>
      </c>
      <c r="B55" t="s">
        <v>499</v>
      </c>
      <c r="C55" t="s">
        <v>500</v>
      </c>
    </row>
    <row r="56" spans="1:3">
      <c r="A56" t="s">
        <v>484</v>
      </c>
      <c r="B56" t="s">
        <v>501</v>
      </c>
      <c r="C56" t="s">
        <v>502</v>
      </c>
    </row>
    <row r="57" spans="1:3">
      <c r="A57" t="s">
        <v>484</v>
      </c>
      <c r="B57" t="s">
        <v>503</v>
      </c>
      <c r="C57" t="s">
        <v>504</v>
      </c>
    </row>
    <row r="58" spans="1:3">
      <c r="A58" t="s">
        <v>484</v>
      </c>
      <c r="B58" t="s">
        <v>505</v>
      </c>
      <c r="C58" t="s">
        <v>506</v>
      </c>
    </row>
    <row r="59" spans="1:3">
      <c r="A59" t="s">
        <v>484</v>
      </c>
      <c r="B59" t="s">
        <v>507</v>
      </c>
      <c r="C59" t="s">
        <v>508</v>
      </c>
    </row>
    <row r="60" spans="1:3">
      <c r="A60" t="s">
        <v>484</v>
      </c>
      <c r="B60" t="s">
        <v>509</v>
      </c>
      <c r="C60" t="s">
        <v>510</v>
      </c>
    </row>
    <row r="61" spans="1:3">
      <c r="A61" t="s">
        <v>484</v>
      </c>
      <c r="B61" t="s">
        <v>511</v>
      </c>
      <c r="C61" t="s">
        <v>512</v>
      </c>
    </row>
    <row r="62" spans="1:3">
      <c r="A62" t="s">
        <v>484</v>
      </c>
      <c r="B62" t="s">
        <v>513</v>
      </c>
      <c r="C62" t="s">
        <v>514</v>
      </c>
    </row>
    <row r="63" spans="1:3">
      <c r="A63" t="s">
        <v>484</v>
      </c>
      <c r="B63" t="s">
        <v>515</v>
      </c>
      <c r="C63" t="s">
        <v>516</v>
      </c>
    </row>
    <row r="64" spans="1:3">
      <c r="A64" t="s">
        <v>484</v>
      </c>
      <c r="B64" t="s">
        <v>517</v>
      </c>
      <c r="C64" t="s">
        <v>518</v>
      </c>
    </row>
    <row r="65" spans="1:3">
      <c r="A65" t="s">
        <v>484</v>
      </c>
      <c r="B65" t="s">
        <v>519</v>
      </c>
      <c r="C65" t="s">
        <v>520</v>
      </c>
    </row>
    <row r="66" spans="1:3">
      <c r="A66" t="s">
        <v>484</v>
      </c>
      <c r="B66" t="s">
        <v>521</v>
      </c>
      <c r="C66" t="s">
        <v>522</v>
      </c>
    </row>
    <row r="67" spans="1:3">
      <c r="A67" t="s">
        <v>484</v>
      </c>
      <c r="B67" t="s">
        <v>523</v>
      </c>
      <c r="C67" t="s">
        <v>524</v>
      </c>
    </row>
    <row r="68" spans="1:3">
      <c r="A68" t="s">
        <v>484</v>
      </c>
      <c r="B68" t="s">
        <v>525</v>
      </c>
      <c r="C68" t="s">
        <v>526</v>
      </c>
    </row>
    <row r="69" spans="1:3">
      <c r="A69" t="s">
        <v>484</v>
      </c>
      <c r="B69" t="s">
        <v>527</v>
      </c>
      <c r="C69" t="s">
        <v>528</v>
      </c>
    </row>
    <row r="70" spans="1:3">
      <c r="A70" t="s">
        <v>484</v>
      </c>
      <c r="B70" t="s">
        <v>529</v>
      </c>
      <c r="C70" t="s">
        <v>530</v>
      </c>
    </row>
    <row r="71" spans="1:3">
      <c r="A71" t="s">
        <v>484</v>
      </c>
      <c r="B71" t="s">
        <v>531</v>
      </c>
      <c r="C71" t="s">
        <v>532</v>
      </c>
    </row>
    <row r="72" spans="1:3">
      <c r="A72" t="s">
        <v>484</v>
      </c>
      <c r="B72" t="s">
        <v>533</v>
      </c>
      <c r="C72" t="s">
        <v>534</v>
      </c>
    </row>
    <row r="73" spans="1:3">
      <c r="A73" t="s">
        <v>484</v>
      </c>
      <c r="B73" t="s">
        <v>535</v>
      </c>
      <c r="C73" t="s">
        <v>536</v>
      </c>
    </row>
    <row r="74" spans="1:3">
      <c r="A74" t="s">
        <v>484</v>
      </c>
      <c r="B74" t="s">
        <v>537</v>
      </c>
      <c r="C74" t="s">
        <v>538</v>
      </c>
    </row>
    <row r="75" spans="1:3">
      <c r="A75" t="s">
        <v>484</v>
      </c>
      <c r="B75" t="s">
        <v>539</v>
      </c>
      <c r="C75" t="s">
        <v>540</v>
      </c>
    </row>
    <row r="76" spans="1:3">
      <c r="A76" t="s">
        <v>484</v>
      </c>
      <c r="B76" t="s">
        <v>541</v>
      </c>
      <c r="C76" t="s">
        <v>542</v>
      </c>
    </row>
    <row r="77" spans="1:3">
      <c r="A77" t="s">
        <v>484</v>
      </c>
      <c r="B77" t="s">
        <v>543</v>
      </c>
      <c r="C77" t="s">
        <v>544</v>
      </c>
    </row>
    <row r="78" spans="1:3">
      <c r="A78" t="s">
        <v>484</v>
      </c>
      <c r="B78" t="s">
        <v>545</v>
      </c>
      <c r="C78" t="s">
        <v>546</v>
      </c>
    </row>
    <row r="79" spans="1:3">
      <c r="A79" t="s">
        <v>484</v>
      </c>
      <c r="B79" t="s">
        <v>547</v>
      </c>
      <c r="C79" t="s">
        <v>548</v>
      </c>
    </row>
    <row r="80" spans="1:3">
      <c r="A80" t="s">
        <v>484</v>
      </c>
      <c r="B80" t="s">
        <v>549</v>
      </c>
      <c r="C80" t="s">
        <v>550</v>
      </c>
    </row>
    <row r="81" spans="1:3">
      <c r="A81" t="s">
        <v>484</v>
      </c>
      <c r="B81" t="s">
        <v>551</v>
      </c>
      <c r="C81" t="s">
        <v>552</v>
      </c>
    </row>
    <row r="82" spans="1:3">
      <c r="A82" t="s">
        <v>484</v>
      </c>
      <c r="B82" t="s">
        <v>553</v>
      </c>
      <c r="C82" t="s">
        <v>554</v>
      </c>
    </row>
    <row r="83" spans="1:3">
      <c r="A83" t="s">
        <v>484</v>
      </c>
      <c r="B83" t="s">
        <v>555</v>
      </c>
      <c r="C83" t="s">
        <v>556</v>
      </c>
    </row>
    <row r="84" spans="1:3">
      <c r="A84" t="s">
        <v>484</v>
      </c>
      <c r="B84" t="s">
        <v>557</v>
      </c>
      <c r="C84" t="s">
        <v>558</v>
      </c>
    </row>
  </sheetData>
  <mergeCells count="1">
    <mergeCell ref="B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A30C-FBE8-43F4-9F31-D9EF2DF787FC}">
  <sheetPr>
    <tabColor theme="9" tint="0.79998168889431442"/>
    <pageSetUpPr fitToPage="1"/>
  </sheetPr>
  <dimension ref="A1:Q16"/>
  <sheetViews>
    <sheetView tabSelected="1" topLeftCell="A7" zoomScale="70" zoomScaleNormal="70" workbookViewId="0">
      <selection activeCell="B12" sqref="B12"/>
    </sheetView>
  </sheetViews>
  <sheetFormatPr defaultColWidth="16.625" defaultRowHeight="15.75"/>
  <sheetData>
    <row r="1" spans="1:17" ht="63.75" thickBot="1">
      <c r="A1" s="75" t="s">
        <v>378</v>
      </c>
      <c r="B1" s="46" t="s">
        <v>14</v>
      </c>
      <c r="C1" s="46" t="s">
        <v>17</v>
      </c>
      <c r="D1" s="46" t="s">
        <v>15</v>
      </c>
      <c r="E1" s="46" t="s">
        <v>16</v>
      </c>
      <c r="F1" s="46" t="s">
        <v>18</v>
      </c>
      <c r="G1" s="46" t="s">
        <v>19</v>
      </c>
      <c r="H1" s="46" t="s">
        <v>20</v>
      </c>
      <c r="I1" s="46" t="s">
        <v>21</v>
      </c>
      <c r="J1" s="46" t="s">
        <v>22</v>
      </c>
      <c r="K1" s="46" t="s">
        <v>23</v>
      </c>
      <c r="L1" s="46" t="s">
        <v>873</v>
      </c>
      <c r="M1" s="46" t="s">
        <v>24</v>
      </c>
      <c r="N1" s="46" t="s">
        <v>25</v>
      </c>
      <c r="O1" s="46" t="s">
        <v>26</v>
      </c>
      <c r="P1" s="18"/>
    </row>
    <row r="2" spans="1:17" ht="245.25" customHeight="1" thickBot="1">
      <c r="A2" s="76"/>
      <c r="B2" s="47"/>
      <c r="C2" s="73"/>
      <c r="D2" s="48"/>
      <c r="E2" s="47"/>
      <c r="F2" s="47"/>
      <c r="G2" s="48"/>
      <c r="H2" s="73"/>
      <c r="I2" s="73"/>
      <c r="J2" s="47"/>
      <c r="K2" s="50"/>
      <c r="L2" s="47"/>
      <c r="M2" s="47"/>
      <c r="N2" s="47"/>
      <c r="O2" s="55"/>
    </row>
    <row r="3" spans="1:17" ht="32.25" thickBot="1">
      <c r="A3" s="53" t="s">
        <v>225</v>
      </c>
      <c r="B3" s="45">
        <v>0</v>
      </c>
      <c r="C3" s="45">
        <v>0</v>
      </c>
      <c r="D3" s="45">
        <v>0</v>
      </c>
      <c r="E3" s="45">
        <v>0</v>
      </c>
      <c r="F3" s="45">
        <v>0</v>
      </c>
      <c r="G3" s="45">
        <v>0</v>
      </c>
      <c r="H3" s="45">
        <v>0</v>
      </c>
      <c r="I3" s="45">
        <v>0</v>
      </c>
      <c r="J3" s="45">
        <v>0</v>
      </c>
      <c r="K3" s="45">
        <v>0</v>
      </c>
      <c r="L3" s="45">
        <v>0</v>
      </c>
      <c r="M3" s="45">
        <v>0</v>
      </c>
      <c r="N3" s="45">
        <v>0</v>
      </c>
      <c r="O3" s="45">
        <v>0</v>
      </c>
      <c r="P3" s="43">
        <f>SUM(B3:O3)</f>
        <v>0</v>
      </c>
      <c r="Q3" s="43">
        <f>SUM(Q8,P3)</f>
        <v>110</v>
      </c>
    </row>
    <row r="4" spans="1:17" ht="32.25" thickBot="1">
      <c r="A4" s="54" t="s">
        <v>226</v>
      </c>
      <c r="B4" s="51">
        <f>SUM(B9+B3)</f>
        <v>22</v>
      </c>
      <c r="C4" s="51">
        <f t="shared" ref="C4:O4" si="0">SUM(C9+C3)</f>
        <v>9</v>
      </c>
      <c r="D4" s="51">
        <f t="shared" si="0"/>
        <v>3</v>
      </c>
      <c r="E4" s="51">
        <f t="shared" si="0"/>
        <v>9</v>
      </c>
      <c r="F4" s="51">
        <f t="shared" si="0"/>
        <v>11</v>
      </c>
      <c r="G4" s="51">
        <f t="shared" si="0"/>
        <v>3</v>
      </c>
      <c r="H4" s="51">
        <f t="shared" si="0"/>
        <v>6</v>
      </c>
      <c r="I4" s="51">
        <f t="shared" si="0"/>
        <v>9</v>
      </c>
      <c r="J4" s="51">
        <f t="shared" si="0"/>
        <v>2</v>
      </c>
      <c r="K4" s="51">
        <f t="shared" si="0"/>
        <v>6</v>
      </c>
      <c r="L4" s="51">
        <f t="shared" si="0"/>
        <v>3</v>
      </c>
      <c r="M4" s="51">
        <f t="shared" si="0"/>
        <v>4</v>
      </c>
      <c r="N4" s="51">
        <f t="shared" si="0"/>
        <v>16</v>
      </c>
      <c r="O4" s="52">
        <f t="shared" si="0"/>
        <v>7</v>
      </c>
      <c r="P4" s="52">
        <f>SUM(B4:O4)</f>
        <v>110</v>
      </c>
      <c r="Q4" s="42"/>
    </row>
    <row r="5" spans="1:17" ht="16.5" thickBot="1">
      <c r="A5" s="23"/>
      <c r="B5" s="21"/>
      <c r="C5" s="21"/>
      <c r="D5" s="22"/>
      <c r="E5" s="21"/>
      <c r="F5" s="21"/>
      <c r="G5" s="21"/>
      <c r="H5" s="21"/>
      <c r="I5" s="21"/>
      <c r="J5" s="22"/>
      <c r="K5" s="22"/>
      <c r="L5" s="21"/>
      <c r="M5" s="21"/>
      <c r="N5" s="21"/>
      <c r="O5" s="21"/>
      <c r="P5" s="42"/>
    </row>
    <row r="6" spans="1:17" ht="63.75" thickBot="1">
      <c r="A6" s="76" t="s">
        <v>380</v>
      </c>
      <c r="B6" s="46" t="s">
        <v>14</v>
      </c>
      <c r="C6" s="46" t="s">
        <v>17</v>
      </c>
      <c r="D6" s="46" t="s">
        <v>15</v>
      </c>
      <c r="E6" s="46" t="s">
        <v>16</v>
      </c>
      <c r="F6" s="46" t="s">
        <v>18</v>
      </c>
      <c r="G6" s="46" t="s">
        <v>19</v>
      </c>
      <c r="H6" s="46" t="s">
        <v>20</v>
      </c>
      <c r="I6" s="46" t="s">
        <v>21</v>
      </c>
      <c r="J6" s="46" t="s">
        <v>22</v>
      </c>
      <c r="K6" s="46" t="s">
        <v>23</v>
      </c>
      <c r="L6" s="46" t="s">
        <v>873</v>
      </c>
      <c r="M6" s="46" t="s">
        <v>24</v>
      </c>
      <c r="N6" s="46" t="s">
        <v>25</v>
      </c>
      <c r="O6" s="46" t="s">
        <v>26</v>
      </c>
    </row>
    <row r="7" spans="1:17" ht="299.25" customHeight="1" thickBot="1">
      <c r="A7" s="76"/>
      <c r="B7" s="47" t="s">
        <v>860</v>
      </c>
      <c r="C7" s="47" t="s">
        <v>861</v>
      </c>
      <c r="D7" s="47" t="s">
        <v>862</v>
      </c>
      <c r="E7" s="47" t="s">
        <v>863</v>
      </c>
      <c r="F7" s="47" t="s">
        <v>865</v>
      </c>
      <c r="G7" s="47" t="s">
        <v>866</v>
      </c>
      <c r="H7" s="47" t="s">
        <v>867</v>
      </c>
      <c r="I7" s="47" t="s">
        <v>868</v>
      </c>
      <c r="J7" s="47" t="s">
        <v>869</v>
      </c>
      <c r="K7" s="47" t="s">
        <v>871</v>
      </c>
      <c r="L7" s="47" t="s">
        <v>874</v>
      </c>
      <c r="M7" s="47" t="s">
        <v>875</v>
      </c>
      <c r="N7" s="47" t="s">
        <v>877</v>
      </c>
      <c r="O7" s="47" t="s">
        <v>879</v>
      </c>
    </row>
    <row r="8" spans="1:17" ht="32.25" thickBot="1">
      <c r="A8" s="53" t="s">
        <v>225</v>
      </c>
      <c r="B8" s="45">
        <v>18</v>
      </c>
      <c r="C8" s="45">
        <v>9</v>
      </c>
      <c r="D8" s="45">
        <v>3</v>
      </c>
      <c r="E8" s="45">
        <v>9</v>
      </c>
      <c r="F8" s="45">
        <v>9</v>
      </c>
      <c r="G8" s="45">
        <v>3</v>
      </c>
      <c r="H8" s="45">
        <v>6</v>
      </c>
      <c r="I8" s="45">
        <v>8</v>
      </c>
      <c r="J8" s="45">
        <v>2</v>
      </c>
      <c r="K8" s="45">
        <v>2</v>
      </c>
      <c r="L8" s="45">
        <v>3</v>
      </c>
      <c r="M8" s="45">
        <v>4</v>
      </c>
      <c r="N8" s="45">
        <v>14</v>
      </c>
      <c r="O8" s="45">
        <v>3</v>
      </c>
      <c r="P8" s="43">
        <f>SUM(B8:O8)</f>
        <v>93</v>
      </c>
      <c r="Q8" s="27">
        <f>SUM(P13,P8)</f>
        <v>110</v>
      </c>
    </row>
    <row r="9" spans="1:17" ht="32.25" thickBot="1">
      <c r="A9" s="54" t="s">
        <v>226</v>
      </c>
      <c r="B9" s="51">
        <f>SUM(B13+B8)</f>
        <v>22</v>
      </c>
      <c r="C9" s="51">
        <f t="shared" ref="C9:O9" si="1">SUM(C13+C8)</f>
        <v>9</v>
      </c>
      <c r="D9" s="51">
        <f t="shared" si="1"/>
        <v>3</v>
      </c>
      <c r="E9" s="51">
        <f t="shared" si="1"/>
        <v>9</v>
      </c>
      <c r="F9" s="51">
        <f t="shared" si="1"/>
        <v>11</v>
      </c>
      <c r="G9" s="51">
        <f t="shared" si="1"/>
        <v>3</v>
      </c>
      <c r="H9" s="51">
        <f t="shared" si="1"/>
        <v>6</v>
      </c>
      <c r="I9" s="51">
        <f t="shared" si="1"/>
        <v>9</v>
      </c>
      <c r="J9" s="51">
        <f t="shared" si="1"/>
        <v>2</v>
      </c>
      <c r="K9" s="51">
        <f t="shared" si="1"/>
        <v>6</v>
      </c>
      <c r="L9" s="51">
        <f t="shared" si="1"/>
        <v>3</v>
      </c>
      <c r="M9" s="51">
        <f t="shared" si="1"/>
        <v>4</v>
      </c>
      <c r="N9" s="51">
        <f t="shared" si="1"/>
        <v>16</v>
      </c>
      <c r="O9" s="52">
        <f t="shared" si="1"/>
        <v>7</v>
      </c>
      <c r="P9" s="52">
        <f>SUM(B9:O9)</f>
        <v>110</v>
      </c>
      <c r="Q9" s="42"/>
    </row>
    <row r="10" spans="1:17" ht="16.5" thickBot="1">
      <c r="A10" s="18"/>
      <c r="B10" s="19"/>
      <c r="C10" s="19"/>
      <c r="D10" s="19"/>
      <c r="E10" s="19"/>
      <c r="F10" s="19"/>
      <c r="G10" s="19"/>
      <c r="H10" s="19"/>
      <c r="I10" s="19"/>
      <c r="J10" s="19"/>
      <c r="K10" s="20"/>
      <c r="L10" s="19"/>
      <c r="M10" s="19"/>
      <c r="N10" s="19"/>
      <c r="O10" s="19"/>
    </row>
    <row r="11" spans="1:17" ht="80.25" customHeight="1" thickBot="1">
      <c r="A11" s="75" t="s">
        <v>379</v>
      </c>
      <c r="B11" s="46" t="s">
        <v>382</v>
      </c>
      <c r="C11" s="49" t="s">
        <v>384</v>
      </c>
      <c r="D11" s="49" t="s">
        <v>383</v>
      </c>
      <c r="E11" s="49" t="s">
        <v>385</v>
      </c>
      <c r="F11" s="46" t="s">
        <v>386</v>
      </c>
      <c r="G11" s="49" t="s">
        <v>387</v>
      </c>
      <c r="H11" s="49" t="s">
        <v>388</v>
      </c>
      <c r="I11" s="46" t="s">
        <v>389</v>
      </c>
      <c r="J11" s="49" t="s">
        <v>390</v>
      </c>
      <c r="K11" s="46" t="s">
        <v>391</v>
      </c>
      <c r="L11" s="49" t="s">
        <v>872</v>
      </c>
      <c r="M11" s="49" t="s">
        <v>392</v>
      </c>
      <c r="N11" s="46" t="s">
        <v>393</v>
      </c>
      <c r="O11" s="46" t="s">
        <v>394</v>
      </c>
    </row>
    <row r="12" spans="1:17" ht="63.75" thickBot="1">
      <c r="A12" s="76"/>
      <c r="B12" s="47" t="s">
        <v>859</v>
      </c>
      <c r="C12" s="50"/>
      <c r="D12" s="50"/>
      <c r="E12" s="50"/>
      <c r="F12" s="47" t="s">
        <v>864</v>
      </c>
      <c r="G12" s="50"/>
      <c r="H12" s="50"/>
      <c r="I12" s="47" t="s">
        <v>771</v>
      </c>
      <c r="J12" s="50"/>
      <c r="K12" s="47" t="s">
        <v>870</v>
      </c>
      <c r="L12" s="50"/>
      <c r="M12" s="50"/>
      <c r="N12" s="47" t="s">
        <v>876</v>
      </c>
      <c r="O12" s="47" t="s">
        <v>878</v>
      </c>
    </row>
    <row r="13" spans="1:17" ht="32.25" thickBot="1">
      <c r="A13" s="53" t="s">
        <v>225</v>
      </c>
      <c r="B13" s="45">
        <v>4</v>
      </c>
      <c r="C13" s="45">
        <v>0</v>
      </c>
      <c r="D13" s="45">
        <v>0</v>
      </c>
      <c r="E13" s="45">
        <v>0</v>
      </c>
      <c r="F13" s="45">
        <v>2</v>
      </c>
      <c r="G13" s="45">
        <v>0</v>
      </c>
      <c r="H13" s="45">
        <v>0</v>
      </c>
      <c r="I13" s="45">
        <v>1</v>
      </c>
      <c r="J13" s="45">
        <v>0</v>
      </c>
      <c r="K13" s="45">
        <v>4</v>
      </c>
      <c r="L13" s="45">
        <v>0</v>
      </c>
      <c r="M13" s="45">
        <v>0</v>
      </c>
      <c r="N13" s="45">
        <v>2</v>
      </c>
      <c r="O13" s="45">
        <v>4</v>
      </c>
      <c r="P13" s="43">
        <f>SUM(B13:O13)</f>
        <v>17</v>
      </c>
    </row>
    <row r="14" spans="1:17">
      <c r="A14" s="23"/>
      <c r="B14" s="21"/>
      <c r="C14" s="24"/>
      <c r="D14" s="24"/>
      <c r="E14" s="24"/>
      <c r="F14" s="25"/>
      <c r="G14" s="24"/>
      <c r="H14" s="24"/>
      <c r="I14" s="24"/>
      <c r="J14" s="24"/>
      <c r="K14" s="25"/>
      <c r="L14" s="24"/>
      <c r="M14" s="24"/>
      <c r="N14" s="21"/>
      <c r="O14" s="21"/>
    </row>
    <row r="15" spans="1:17">
      <c r="A15" s="26"/>
      <c r="B15" s="26">
        <f>SUM(B13,B8,B3)</f>
        <v>22</v>
      </c>
      <c r="C15" s="26">
        <f t="shared" ref="C15:P15" si="2">SUM(C13,C8,C3)</f>
        <v>9</v>
      </c>
      <c r="D15" s="26">
        <f t="shared" si="2"/>
        <v>3</v>
      </c>
      <c r="E15" s="26">
        <f t="shared" si="2"/>
        <v>9</v>
      </c>
      <c r="F15" s="26">
        <f t="shared" si="2"/>
        <v>11</v>
      </c>
      <c r="G15" s="26">
        <f t="shared" si="2"/>
        <v>3</v>
      </c>
      <c r="H15" s="26">
        <f t="shared" si="2"/>
        <v>6</v>
      </c>
      <c r="I15" s="26">
        <f t="shared" si="2"/>
        <v>9</v>
      </c>
      <c r="J15" s="26">
        <f t="shared" si="2"/>
        <v>2</v>
      </c>
      <c r="K15" s="26">
        <f t="shared" si="2"/>
        <v>6</v>
      </c>
      <c r="L15" s="26">
        <f t="shared" si="2"/>
        <v>3</v>
      </c>
      <c r="M15" s="26">
        <f t="shared" si="2"/>
        <v>4</v>
      </c>
      <c r="N15" s="26">
        <f t="shared" si="2"/>
        <v>16</v>
      </c>
      <c r="O15" s="26">
        <f t="shared" si="2"/>
        <v>7</v>
      </c>
      <c r="P15" s="26">
        <f t="shared" si="2"/>
        <v>110</v>
      </c>
    </row>
    <row r="16" spans="1:17">
      <c r="A16" s="41"/>
      <c r="B16" s="41" t="s">
        <v>224</v>
      </c>
      <c r="C16" s="41" t="s">
        <v>224</v>
      </c>
      <c r="D16" s="41" t="s">
        <v>224</v>
      </c>
      <c r="E16" s="41" t="s">
        <v>224</v>
      </c>
      <c r="F16" s="41" t="s">
        <v>224</v>
      </c>
      <c r="G16" s="41" t="s">
        <v>224</v>
      </c>
      <c r="H16" s="41" t="s">
        <v>224</v>
      </c>
      <c r="I16" s="41" t="s">
        <v>224</v>
      </c>
      <c r="J16" s="41" t="s">
        <v>224</v>
      </c>
      <c r="K16" s="41" t="s">
        <v>224</v>
      </c>
      <c r="L16" s="41" t="s">
        <v>224</v>
      </c>
      <c r="M16" s="41" t="s">
        <v>224</v>
      </c>
      <c r="N16" s="41" t="s">
        <v>224</v>
      </c>
      <c r="O16" s="41" t="s">
        <v>224</v>
      </c>
      <c r="P16" s="41" t="s">
        <v>223</v>
      </c>
    </row>
  </sheetData>
  <mergeCells count="3">
    <mergeCell ref="A1:A2"/>
    <mergeCell ref="A6:A7"/>
    <mergeCell ref="A11:A12"/>
  </mergeCells>
  <pageMargins left="0.7" right="0.7" top="0.75" bottom="0.75" header="0.3" footer="0.3"/>
  <pageSetup scale="34"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1"/>
  <sheetViews>
    <sheetView zoomScale="60" zoomScaleNormal="60" zoomScalePageLayoutView="60" workbookViewId="0">
      <selection activeCell="A7" sqref="A7"/>
    </sheetView>
  </sheetViews>
  <sheetFormatPr defaultColWidth="10.625" defaultRowHeight="15.75"/>
  <cols>
    <col min="1" max="1" width="36.625" style="6" customWidth="1"/>
    <col min="2" max="2" width="54.5" style="6" customWidth="1"/>
    <col min="3" max="3" width="36.625" style="6" customWidth="1"/>
    <col min="4" max="4" width="19.375" style="6" customWidth="1"/>
    <col min="5" max="5" width="10.625" style="6"/>
    <col min="6" max="6" width="14.75" style="6" customWidth="1"/>
    <col min="7" max="16384" width="10.625" style="6"/>
  </cols>
  <sheetData>
    <row r="1" spans="1:4" s="4" customFormat="1" ht="31.5">
      <c r="A1" s="77" t="s">
        <v>0</v>
      </c>
      <c r="B1" s="78"/>
      <c r="C1" s="79"/>
      <c r="D1" s="4">
        <v>22</v>
      </c>
    </row>
    <row r="2" spans="1:4" s="10" customFormat="1" ht="21">
      <c r="A2" s="80" t="s">
        <v>1</v>
      </c>
      <c r="B2" s="80"/>
      <c r="C2" s="80"/>
    </row>
    <row r="3" spans="1:4" s="10" customFormat="1" ht="21">
      <c r="A3" s="63" t="s">
        <v>565</v>
      </c>
      <c r="B3" s="63" t="s">
        <v>566</v>
      </c>
      <c r="C3" s="63" t="s">
        <v>567</v>
      </c>
    </row>
    <row r="4" spans="1:4" s="9" customFormat="1" ht="207" customHeight="1">
      <c r="A4" s="56" t="s">
        <v>568</v>
      </c>
      <c r="B4" s="56" t="s">
        <v>569</v>
      </c>
      <c r="C4" s="56"/>
    </row>
    <row r="5" spans="1:4" s="9" customFormat="1" ht="126">
      <c r="A5" s="65" t="s">
        <v>570</v>
      </c>
      <c r="B5" s="65" t="s">
        <v>571</v>
      </c>
      <c r="C5" s="65"/>
    </row>
    <row r="6" spans="1:4" s="9" customFormat="1" ht="110.25">
      <c r="A6" s="56" t="s">
        <v>572</v>
      </c>
      <c r="B6" s="56" t="s">
        <v>573</v>
      </c>
      <c r="C6" s="56"/>
    </row>
    <row r="7" spans="1:4" s="9" customFormat="1" ht="126">
      <c r="A7" s="65" t="s">
        <v>574</v>
      </c>
      <c r="B7" s="65" t="s">
        <v>575</v>
      </c>
      <c r="C7" s="66"/>
    </row>
    <row r="8" spans="1:4" s="9" customFormat="1" ht="110.25">
      <c r="A8" s="11"/>
      <c r="B8" s="56" t="s">
        <v>576</v>
      </c>
      <c r="C8" s="56"/>
    </row>
    <row r="9" spans="1:4" s="9" customFormat="1" ht="78.75">
      <c r="A9" s="65"/>
      <c r="B9" s="65" t="s">
        <v>577</v>
      </c>
      <c r="C9" s="65"/>
    </row>
    <row r="10" spans="1:4" s="9" customFormat="1" ht="94.5">
      <c r="A10" s="56"/>
      <c r="B10" s="56" t="s">
        <v>578</v>
      </c>
      <c r="C10" s="56"/>
    </row>
    <row r="11" spans="1:4" s="9" customFormat="1" ht="94.5">
      <c r="A11" s="66"/>
      <c r="B11" s="65" t="s">
        <v>579</v>
      </c>
      <c r="C11" s="66"/>
    </row>
    <row r="12" spans="1:4" s="9" customFormat="1" ht="94.5">
      <c r="A12" s="56"/>
      <c r="B12" s="56" t="s">
        <v>580</v>
      </c>
      <c r="C12" s="11"/>
    </row>
    <row r="13" spans="1:4" s="9" customFormat="1" ht="78.75">
      <c r="A13" s="65"/>
      <c r="B13" s="65" t="s">
        <v>581</v>
      </c>
      <c r="C13" s="66"/>
    </row>
    <row r="14" spans="1:4" s="9" customFormat="1" ht="94.5">
      <c r="A14" s="56"/>
      <c r="B14" s="56" t="s">
        <v>582</v>
      </c>
      <c r="C14" s="67"/>
    </row>
    <row r="15" spans="1:4" ht="78.75">
      <c r="A15" s="68"/>
      <c r="B15" s="65" t="s">
        <v>583</v>
      </c>
      <c r="C15" s="68"/>
    </row>
    <row r="16" spans="1:4" ht="94.5">
      <c r="A16" s="16"/>
      <c r="B16" s="56" t="s">
        <v>584</v>
      </c>
      <c r="C16" s="16"/>
    </row>
    <row r="17" spans="1:3" ht="78.75">
      <c r="A17" s="68"/>
      <c r="B17" s="65" t="s">
        <v>585</v>
      </c>
      <c r="C17" s="68"/>
    </row>
    <row r="18" spans="1:3" ht="78.75">
      <c r="A18" s="16"/>
      <c r="B18" s="56" t="s">
        <v>586</v>
      </c>
      <c r="C18" s="16"/>
    </row>
    <row r="19" spans="1:3" ht="78.75">
      <c r="A19" s="68"/>
      <c r="B19" s="65" t="s">
        <v>587</v>
      </c>
      <c r="C19" s="68"/>
    </row>
    <row r="20" spans="1:3" ht="78.75">
      <c r="A20" s="16"/>
      <c r="B20" s="56" t="s">
        <v>588</v>
      </c>
      <c r="C20" s="16"/>
    </row>
    <row r="21" spans="1:3" ht="78.75">
      <c r="A21" s="68"/>
      <c r="B21" s="65" t="s">
        <v>589</v>
      </c>
      <c r="C21" s="68"/>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2"/>
  <sheetViews>
    <sheetView zoomScale="130" zoomScaleNormal="130" zoomScalePageLayoutView="50" workbookViewId="0">
      <selection activeCell="B4" sqref="B4"/>
    </sheetView>
  </sheetViews>
  <sheetFormatPr defaultColWidth="10.625" defaultRowHeight="15.75"/>
  <cols>
    <col min="1" max="3" width="36.625" style="15" customWidth="1"/>
    <col min="4" max="7" width="10.625" style="15"/>
    <col min="8" max="8" width="59.625" style="15" customWidth="1"/>
    <col min="9" max="16384" width="10.625" style="15"/>
  </cols>
  <sheetData>
    <row r="1" spans="1:4" s="13" customFormat="1" ht="31.5">
      <c r="A1" s="77" t="s">
        <v>2</v>
      </c>
      <c r="B1" s="78"/>
      <c r="C1" s="79"/>
      <c r="D1" s="13">
        <v>9</v>
      </c>
    </row>
    <row r="2" spans="1:4" s="14" customFormat="1" ht="21">
      <c r="A2" s="80" t="s">
        <v>1</v>
      </c>
      <c r="B2" s="80"/>
      <c r="C2" s="80"/>
    </row>
    <row r="3" spans="1:4" s="14" customFormat="1" ht="21">
      <c r="A3" s="63" t="s">
        <v>565</v>
      </c>
      <c r="B3" s="63" t="s">
        <v>566</v>
      </c>
      <c r="C3" s="63" t="s">
        <v>567</v>
      </c>
    </row>
    <row r="4" spans="1:4" s="8" customFormat="1" ht="169.5" customHeight="1">
      <c r="A4" s="64"/>
      <c r="B4" s="64" t="s">
        <v>590</v>
      </c>
      <c r="C4" s="64"/>
    </row>
    <row r="5" spans="1:4" s="8" customFormat="1" ht="141" customHeight="1">
      <c r="A5" s="69"/>
      <c r="B5" s="69" t="s">
        <v>591</v>
      </c>
      <c r="C5" s="69"/>
    </row>
    <row r="6" spans="1:4" s="8" customFormat="1" ht="78.75">
      <c r="A6" s="7"/>
      <c r="B6" s="64" t="s">
        <v>592</v>
      </c>
      <c r="C6" s="64"/>
    </row>
    <row r="7" spans="1:4" s="8" customFormat="1" ht="94.5">
      <c r="A7" s="69"/>
      <c r="B7" s="69" t="s">
        <v>593</v>
      </c>
      <c r="C7" s="69"/>
    </row>
    <row r="8" spans="1:4" s="8" customFormat="1" ht="141.75">
      <c r="A8" s="64"/>
      <c r="B8" s="64" t="s">
        <v>594</v>
      </c>
      <c r="C8" s="64"/>
    </row>
    <row r="9" spans="1:4" s="8" customFormat="1" ht="110.25">
      <c r="A9" s="69"/>
      <c r="B9" s="69" t="s">
        <v>595</v>
      </c>
      <c r="C9" s="69"/>
    </row>
    <row r="10" spans="1:4" s="8" customFormat="1" ht="126">
      <c r="A10" s="64"/>
      <c r="B10" s="64" t="s">
        <v>596</v>
      </c>
      <c r="C10" s="7"/>
    </row>
    <row r="11" spans="1:4" s="8" customFormat="1" ht="110.25">
      <c r="A11" s="70"/>
      <c r="B11" s="69" t="s">
        <v>597</v>
      </c>
      <c r="C11" s="69"/>
    </row>
    <row r="12" spans="1:4" s="8" customFormat="1" ht="110.25">
      <c r="A12" s="64"/>
      <c r="B12" s="64" t="s">
        <v>598</v>
      </c>
      <c r="C12" s="64"/>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6"/>
  <sheetViews>
    <sheetView zoomScaleNormal="100" zoomScalePageLayoutView="50" workbookViewId="0">
      <selection activeCell="B4" sqref="B4"/>
    </sheetView>
  </sheetViews>
  <sheetFormatPr defaultColWidth="10.625" defaultRowHeight="15.75"/>
  <cols>
    <col min="1" max="1" width="36.375" style="6" customWidth="1"/>
    <col min="2" max="3" width="36.625" style="6" customWidth="1"/>
    <col min="4" max="4" width="13.125" style="6" customWidth="1"/>
    <col min="5" max="16384" width="10.625" style="6"/>
  </cols>
  <sheetData>
    <row r="1" spans="1:4" s="4" customFormat="1" ht="31.5">
      <c r="A1" s="77" t="s">
        <v>3</v>
      </c>
      <c r="B1" s="78"/>
      <c r="C1" s="79"/>
      <c r="D1" s="4">
        <v>3</v>
      </c>
    </row>
    <row r="2" spans="1:4" s="10" customFormat="1" ht="21">
      <c r="A2" s="80" t="s">
        <v>1</v>
      </c>
      <c r="B2" s="80"/>
      <c r="C2" s="80"/>
    </row>
    <row r="3" spans="1:4" s="10" customFormat="1" ht="21">
      <c r="A3" s="63" t="s">
        <v>565</v>
      </c>
      <c r="B3" s="63" t="s">
        <v>566</v>
      </c>
      <c r="C3" s="63" t="s">
        <v>567</v>
      </c>
    </row>
    <row r="4" spans="1:4" s="9" customFormat="1" ht="189">
      <c r="A4" s="56"/>
      <c r="B4" s="56" t="s">
        <v>599</v>
      </c>
      <c r="C4" s="56"/>
    </row>
    <row r="5" spans="1:4" s="9" customFormat="1" ht="110.25">
      <c r="A5" s="66"/>
      <c r="B5" s="65" t="s">
        <v>600</v>
      </c>
      <c r="C5" s="65"/>
    </row>
    <row r="6" spans="1:4" ht="110.25">
      <c r="A6" s="16"/>
      <c r="B6" s="56" t="s">
        <v>601</v>
      </c>
      <c r="C6" s="16"/>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2"/>
  <sheetViews>
    <sheetView topLeftCell="A7" zoomScale="54" zoomScaleNormal="54" zoomScalePageLayoutView="60" workbookViewId="0">
      <selection activeCell="B9" sqref="B9"/>
    </sheetView>
  </sheetViews>
  <sheetFormatPr defaultColWidth="10.625" defaultRowHeight="15.75"/>
  <cols>
    <col min="1" max="3" width="36.625" style="6" customWidth="1"/>
    <col min="4" max="5" width="10.625" style="6"/>
    <col min="6" max="6" width="71.5" style="6" customWidth="1"/>
    <col min="7" max="16384" width="10.625" style="6"/>
  </cols>
  <sheetData>
    <row r="1" spans="1:4" s="4" customFormat="1" ht="31.5">
      <c r="A1" s="77" t="s">
        <v>4</v>
      </c>
      <c r="B1" s="78"/>
      <c r="C1" s="79"/>
      <c r="D1" s="4">
        <v>9</v>
      </c>
    </row>
    <row r="2" spans="1:4" s="10" customFormat="1" ht="21">
      <c r="A2" s="80" t="s">
        <v>1</v>
      </c>
      <c r="B2" s="80"/>
      <c r="C2" s="80"/>
    </row>
    <row r="3" spans="1:4" s="10" customFormat="1" ht="21">
      <c r="A3" s="63" t="s">
        <v>565</v>
      </c>
      <c r="B3" s="63" t="s">
        <v>566</v>
      </c>
      <c r="C3" s="63" t="s">
        <v>567</v>
      </c>
    </row>
    <row r="4" spans="1:4" s="9" customFormat="1" ht="157.5">
      <c r="A4" s="11"/>
      <c r="B4" s="56" t="s">
        <v>602</v>
      </c>
      <c r="C4" s="64"/>
    </row>
    <row r="5" spans="1:4" s="9" customFormat="1" ht="126">
      <c r="A5" s="66"/>
      <c r="B5" s="65" t="s">
        <v>603</v>
      </c>
      <c r="C5" s="65"/>
    </row>
    <row r="6" spans="1:4" s="9" customFormat="1" ht="94.5">
      <c r="A6" s="56"/>
      <c r="B6" s="56" t="s">
        <v>604</v>
      </c>
      <c r="C6" s="56"/>
    </row>
    <row r="7" spans="1:4" s="9" customFormat="1" ht="94.5">
      <c r="A7" s="65"/>
      <c r="B7" s="65" t="s">
        <v>605</v>
      </c>
      <c r="C7" s="65"/>
    </row>
    <row r="8" spans="1:4" ht="126">
      <c r="A8" s="16"/>
      <c r="B8" s="56" t="s">
        <v>606</v>
      </c>
      <c r="C8" s="16"/>
    </row>
    <row r="9" spans="1:4" ht="110.25">
      <c r="A9" s="68"/>
      <c r="B9" s="65" t="s">
        <v>607</v>
      </c>
      <c r="C9" s="68"/>
    </row>
    <row r="10" spans="1:4" ht="110.25">
      <c r="A10" s="16"/>
      <c r="B10" s="56" t="s">
        <v>608</v>
      </c>
      <c r="C10" s="16"/>
    </row>
    <row r="11" spans="1:4" ht="141.75">
      <c r="A11" s="68"/>
      <c r="B11" s="65" t="s">
        <v>609</v>
      </c>
      <c r="C11" s="68"/>
    </row>
    <row r="12" spans="1:4" ht="94.5">
      <c r="A12" s="16"/>
      <c r="B12" s="56" t="s">
        <v>610</v>
      </c>
      <c r="C12" s="16"/>
    </row>
  </sheetData>
  <sheetProtection selectLockedCells="1" sort="0" selectUnlockedCells="1"/>
  <mergeCells count="2">
    <mergeCell ref="A1:C1"/>
    <mergeCell ref="A2:C2"/>
  </mergeCells>
  <pageMargins left="0.7" right="0.7" top="0.75" bottom="0.75" header="0.3" footer="0.3"/>
  <pageSetup scale="54" fitToHeight="0" orientation="landscape" r:id="rId1"/>
  <headerFooter>
    <oddFooter>&amp;LCybersecurity Maturity Model Certification (CMMC) Version 1.02&amp;R&amp;P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3F23EB2048A24987DC8CE7E89BA2CA" ma:contentTypeVersion="2" ma:contentTypeDescription="Create a new document." ma:contentTypeScope="" ma:versionID="ffc1bc5956b27a984ba5de00502a7dd4">
  <xsd:schema xmlns:xsd="http://www.w3.org/2001/XMLSchema" xmlns:xs="http://www.w3.org/2001/XMLSchema" xmlns:p="http://schemas.microsoft.com/office/2006/metadata/properties" xmlns:ns2="8d3f00d4-6cb9-4a73-b6cd-69039b4132b3" targetNamespace="http://schemas.microsoft.com/office/2006/metadata/properties" ma:root="true" ma:fieldsID="76801fabc773ef6da8f8c89f3a73e1fc" ns2:_="">
    <xsd:import namespace="8d3f00d4-6cb9-4a73-b6cd-69039b4132b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f00d4-6cb9-4a73-b6cd-69039b4132b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F9B305-600D-4AD7-B171-E25C7BB7E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f00d4-6cb9-4a73-b6cd-69039b4132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4FD6D8-8812-4CA3-A4C2-A9F4F741D298}">
  <ds:schemaRefs>
    <ds:schemaRef ds:uri="http://schemas.microsoft.com/sharepoint/v3/contenttype/forms"/>
  </ds:schemaRefs>
</ds:datastoreItem>
</file>

<file path=customXml/itemProps3.xml><?xml version="1.0" encoding="utf-8"?>
<ds:datastoreItem xmlns:ds="http://schemas.openxmlformats.org/officeDocument/2006/customXml" ds:itemID="{0A49C780-D6EE-4F9B-A1B2-2AF8E74E99DF}">
  <ds:schemaRefs>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www.w3.org/XML/1998/namespace"/>
    <ds:schemaRef ds:uri="8d3f00d4-6cb9-4a73-b6cd-69039b4132b3"/>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Notices</vt:lpstr>
      <vt:lpstr>All Practices</vt:lpstr>
      <vt:lpstr>Objective Evidence</vt:lpstr>
      <vt:lpstr>NFO_NCO</vt:lpstr>
      <vt:lpstr>Practices Per Level &amp; 20 ID'd</vt:lpstr>
      <vt:lpstr>Access Control (AC)</vt:lpstr>
      <vt:lpstr>Audit &amp; Accountability (AU)</vt:lpstr>
      <vt:lpstr>Awareness &amp; Training (AT)</vt:lpstr>
      <vt:lpstr>Configuration Management (CM)</vt:lpstr>
      <vt:lpstr>ID &amp; Authentication (IA) </vt:lpstr>
      <vt:lpstr>Incident Response (IR)</vt:lpstr>
      <vt:lpstr>Maintenance (MA)</vt:lpstr>
      <vt:lpstr>Media Protection (MP)</vt:lpstr>
      <vt:lpstr>Personnel Security (PS)</vt:lpstr>
      <vt:lpstr>Physical Protection (PE)</vt:lpstr>
      <vt:lpstr>Risk Assessment (RA)</vt:lpstr>
      <vt:lpstr>Security Assessment (CA)</vt:lpstr>
      <vt:lpstr>System &amp; Comms Protection (SC)</vt:lpstr>
      <vt:lpstr>System &amp; Info. Integrity (SI)</vt:lpstr>
      <vt:lpstr>'Practices Per Level &amp; 20 ID''d'!Print_Area</vt:lpstr>
      <vt:lpstr>Notices!Print_Titles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2020-03-04T18:04:24Z</dcterms:created>
  <dcterms:modified xsi:type="dcterms:W3CDTF">2022-06-28T23:08:39Z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0x0101002B3F23EB2048A24987DC8CE7E89BA2CA</vt:lpwstr>
  </property>
  <property fmtid="{D5CDD505-2E9C-101B-9397-08002B2CF9AE}" pid="3" name="MSIP_Label_2be01366-9e3a-4cf9-a6e5-ae6dc166512a_Enabled">
    <vt:lpwstr>true</vt:lpwstr>
  </property>
  <property fmtid="{D5CDD505-2E9C-101B-9397-08002B2CF9AE}" pid="4" name="MSIP_Label_2be01366-9e3a-4cf9-a6e5-ae6dc166512a_SetDate">
    <vt:lpwstr>2021-07-08T20:26:15Z</vt:lpwstr>
  </property>
  <property fmtid="{D5CDD505-2E9C-101B-9397-08002B2CF9AE}" pid="5" name="MSIP_Label_2be01366-9e3a-4cf9-a6e5-ae6dc166512a_Method">
    <vt:lpwstr>Privileged</vt:lpwstr>
  </property>
  <property fmtid="{D5CDD505-2E9C-101B-9397-08002B2CF9AE}" pid="6" name="MSIP_Label_2be01366-9e3a-4cf9-a6e5-ae6dc166512a_Name">
    <vt:lpwstr>Public</vt:lpwstr>
  </property>
  <property fmtid="{D5CDD505-2E9C-101B-9397-08002B2CF9AE}" pid="7" name="MSIP_Label_2be01366-9e3a-4cf9-a6e5-ae6dc166512a_SiteId">
    <vt:lpwstr>ba687346-9e31-44df-86ad-99e8a967d008</vt:lpwstr>
  </property>
  <property fmtid="{D5CDD505-2E9C-101B-9397-08002B2CF9AE}" pid="8" name="MSIP_Label_2be01366-9e3a-4cf9-a6e5-ae6dc166512a_ActionId">
    <vt:lpwstr>bf7b1966-4091-42de-9b40-2cb0195a99fb</vt:lpwstr>
  </property>
  <property fmtid="{D5CDD505-2E9C-101B-9397-08002B2CF9AE}" pid="9" name="MSIP_Label_2be01366-9e3a-4cf9-a6e5-ae6dc166512a_ContentBits">
    <vt:lpwstr>0</vt:lpwstr>
  </property>
</Properties>
</file>